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rdav\Desktop\"/>
    </mc:Choice>
  </mc:AlternateContent>
  <bookViews>
    <workbookView xWindow="0" yWindow="0" windowWidth="28800" windowHeight="12450"/>
  </bookViews>
  <sheets>
    <sheet name="CalculadoraSales" sheetId="1" r:id="rId1"/>
    <sheet name="CalculadoraDisoluciones" sheetId="2" r:id="rId2"/>
    <sheet name="DatosSales" sheetId="3" r:id="rId3"/>
  </sheets>
  <calcPr calcId="162913"/>
</workbook>
</file>

<file path=xl/calcChain.xml><?xml version="1.0" encoding="utf-8"?>
<calcChain xmlns="http://schemas.openxmlformats.org/spreadsheetml/2006/main">
  <c r="J21" i="2" l="1"/>
  <c r="K14" i="2" l="1"/>
  <c r="H3" i="2"/>
  <c r="J7" i="3" l="1"/>
  <c r="I7" i="3"/>
  <c r="C7" i="3"/>
  <c r="C6" i="3"/>
  <c r="D4" i="3"/>
  <c r="D3" i="3"/>
  <c r="I25" i="2"/>
  <c r="G25" i="2"/>
  <c r="D21" i="2"/>
  <c r="I19" i="2"/>
  <c r="G19" i="2"/>
  <c r="J15" i="2"/>
  <c r="D15" i="2" s="1"/>
  <c r="I13" i="2"/>
  <c r="G13" i="2"/>
  <c r="I9" i="2"/>
  <c r="L9" i="2" s="1"/>
  <c r="D26" i="2" s="1"/>
  <c r="H9" i="2"/>
  <c r="L8" i="2"/>
  <c r="I8" i="2"/>
  <c r="H8" i="2"/>
  <c r="I7" i="2"/>
  <c r="L7" i="2" s="1"/>
  <c r="H7" i="2"/>
  <c r="I6" i="2"/>
  <c r="L6" i="2" s="1"/>
  <c r="H6" i="2"/>
  <c r="I5" i="2"/>
  <c r="L5" i="2" s="1"/>
  <c r="H5" i="2"/>
  <c r="J4" i="2"/>
  <c r="I4" i="2"/>
  <c r="H4" i="2"/>
  <c r="C42" i="1"/>
  <c r="C43" i="1" s="1"/>
  <c r="I16" i="1" s="1"/>
  <c r="C39" i="1"/>
  <c r="C40" i="1" s="1"/>
  <c r="C41" i="1" s="1"/>
  <c r="C34" i="1"/>
  <c r="C36" i="1" s="1"/>
  <c r="C37" i="1" s="1"/>
  <c r="C38" i="1" s="1"/>
  <c r="C31" i="1"/>
  <c r="C33" i="1" s="1"/>
  <c r="C30" i="1"/>
  <c r="C32" i="1" s="1"/>
  <c r="C29" i="1"/>
  <c r="C28" i="1"/>
  <c r="C27" i="1"/>
  <c r="D21" i="1"/>
  <c r="C21" i="1"/>
  <c r="C20" i="1"/>
  <c r="D19" i="1"/>
  <c r="D20" i="1" s="1"/>
  <c r="G12" i="1"/>
  <c r="C15" i="2"/>
  <c r="C21" i="2"/>
  <c r="C14" i="2"/>
  <c r="C26" i="2"/>
  <c r="C20" i="2"/>
  <c r="E26" i="2" l="1"/>
  <c r="F26" i="2" s="1"/>
  <c r="J16" i="1"/>
  <c r="J7" i="2"/>
  <c r="I15" i="1"/>
  <c r="I14" i="1"/>
  <c r="I17" i="1"/>
  <c r="I18" i="1"/>
  <c r="C35" i="1"/>
  <c r="D14" i="2"/>
  <c r="E15" i="2" s="1"/>
  <c r="F15" i="2" s="1"/>
  <c r="L15" i="2" s="1"/>
  <c r="M15" i="2" s="1"/>
  <c r="N15" i="2" s="1"/>
  <c r="K15" i="2" s="1"/>
  <c r="D20" i="2"/>
  <c r="E21" i="2" s="1"/>
  <c r="F21" i="2" s="1"/>
  <c r="G21" i="2" s="1"/>
  <c r="E20" i="2" l="1"/>
  <c r="F20" i="2" s="1"/>
  <c r="G20" i="2" s="1"/>
  <c r="G15" i="2"/>
  <c r="G26" i="2"/>
  <c r="J8" i="2"/>
  <c r="I22" i="2" s="1"/>
  <c r="J17" i="1"/>
  <c r="E14" i="2"/>
  <c r="F14" i="2" s="1"/>
  <c r="G14" i="2" s="1"/>
  <c r="J15" i="1"/>
  <c r="J6" i="2"/>
  <c r="I16" i="2" s="1"/>
  <c r="J14" i="1"/>
  <c r="J5" i="2"/>
  <c r="J18" i="1"/>
  <c r="J9" i="2"/>
  <c r="I28" i="2" s="1"/>
  <c r="J19" i="1" l="1"/>
  <c r="H21" i="1" s="1"/>
  <c r="H23" i="1" s="1"/>
  <c r="H24" i="1" l="1"/>
  <c r="H22" i="1"/>
</calcChain>
</file>

<file path=xl/sharedStrings.xml><?xml version="1.0" encoding="utf-8"?>
<sst xmlns="http://schemas.openxmlformats.org/spreadsheetml/2006/main" count="188" uniqueCount="109">
  <si>
    <t>Modo de empleo</t>
  </si>
  <si>
    <r>
      <rPr>
        <sz val="9"/>
        <rFont val="Arial"/>
        <family val="2"/>
      </rPr>
      <t xml:space="preserve">Modificar solo las celdas con fondo </t>
    </r>
    <r>
      <rPr>
        <b/>
        <sz val="9"/>
        <color rgb="FF38761D"/>
        <rFont val="Arial"/>
        <family val="2"/>
      </rPr>
      <t>verde</t>
    </r>
    <r>
      <rPr>
        <sz val="9"/>
        <rFont val="Arial"/>
        <family val="2"/>
      </rPr>
      <t xml:space="preserve">. Los resultados aparecen en las celdas </t>
    </r>
    <r>
      <rPr>
        <b/>
        <sz val="9"/>
        <color rgb="FF1155CC"/>
        <rFont val="Arial"/>
        <family val="2"/>
      </rPr>
      <t>azules</t>
    </r>
    <r>
      <rPr>
        <sz val="9"/>
        <rFont val="Arial"/>
        <family val="2"/>
      </rPr>
      <t xml:space="preserve">. 
</t>
    </r>
    <r>
      <rPr>
        <u/>
        <sz val="9"/>
        <rFont val="Arial"/>
        <family val="2"/>
      </rPr>
      <t>Parametros del lago</t>
    </r>
    <r>
      <rPr>
        <sz val="9"/>
        <rFont val="Arial"/>
        <family val="2"/>
      </rPr>
      <t xml:space="preserve">: valores por defecto según el tipo de lago. 
</t>
    </r>
    <r>
      <rPr>
        <u/>
        <sz val="9"/>
        <rFont val="Arial"/>
        <family val="2"/>
      </rPr>
      <t>Parametros avanzados</t>
    </r>
    <r>
      <rPr>
        <sz val="9"/>
        <rFont val="Arial"/>
        <family val="2"/>
      </rPr>
      <t xml:space="preserve">: permite modificar los parámetros por defecto. Si están en blanco se usa el por defecto, si no, el avanzado.  
</t>
    </r>
    <r>
      <rPr>
        <u/>
        <sz val="9"/>
        <rFont val="Arial"/>
        <family val="2"/>
      </rPr>
      <t>Pestaña "CalculadoraSales"</t>
    </r>
    <r>
      <rPr>
        <sz val="9"/>
        <rFont val="Arial"/>
        <family val="2"/>
      </rPr>
      <t xml:space="preserve">:  calcula las cantidades de sales para tratar el agua. 
</t>
    </r>
    <r>
      <rPr>
        <u/>
        <sz val="9"/>
        <rFont val="Arial"/>
        <family val="2"/>
      </rPr>
      <t>Pestaña "CalculadoraDisoluciones"</t>
    </r>
    <r>
      <rPr>
        <sz val="9"/>
        <rFont val="Arial"/>
        <family val="2"/>
      </rPr>
      <t>: hace tres disoluciones y calcula los ml a añadir de cada una para tratar agua en los cambios.
Toda la i</t>
    </r>
    <r>
      <rPr>
        <sz val="9"/>
        <color rgb="FF000000"/>
        <rFont val="Arial"/>
        <family val="2"/>
      </rPr>
      <t>nfo,</t>
    </r>
    <r>
      <rPr>
        <sz val="9"/>
        <rFont val="Arial"/>
        <family val="2"/>
      </rPr>
      <t xml:space="preserve"> </t>
    </r>
    <r>
      <rPr>
        <u/>
        <sz val="9"/>
        <color rgb="FF1155CC"/>
        <rFont val="Arial"/>
        <family val="2"/>
      </rPr>
      <t>AQUI</t>
    </r>
  </si>
  <si>
    <t>Parámetros avanzados (modificar parámetros básicos del lago)</t>
  </si>
  <si>
    <t>GH final</t>
  </si>
  <si>
    <t>ºdH</t>
  </si>
  <si>
    <t>KH final</t>
  </si>
  <si>
    <t>Parametros de entrada</t>
  </si>
  <si>
    <t>Ratio Ca/Mg</t>
  </si>
  <si>
    <t>Ca (g) / Mg (g)</t>
  </si>
  <si>
    <t>Litros a tratar</t>
  </si>
  <si>
    <t>(L)</t>
  </si>
  <si>
    <t>Ratio Carbonato / Bicarbonato</t>
  </si>
  <si>
    <t>Na2CO3 (g) / NaHCO3 (g)</t>
  </si>
  <si>
    <t>GH inicial</t>
  </si>
  <si>
    <t>Cantidad potasio (g/L)</t>
  </si>
  <si>
    <t>ppm</t>
  </si>
  <si>
    <t>KH inicial</t>
  </si>
  <si>
    <t>Lago</t>
  </si>
  <si>
    <t>Malawi</t>
  </si>
  <si>
    <t>Malawi o Tanganica</t>
  </si>
  <si>
    <t>Parámetros del lago</t>
  </si>
  <si>
    <t>Sal</t>
  </si>
  <si>
    <t>Formula</t>
  </si>
  <si>
    <t>Gramos a aditar en total</t>
  </si>
  <si>
    <t>mg/L (TDS)</t>
  </si>
  <si>
    <t>Parámetros establecidos para cada lago según la calculadora de riffmaniacos</t>
  </si>
  <si>
    <t>Bicarbonato sódico</t>
  </si>
  <si>
    <t>NaHCO3</t>
  </si>
  <si>
    <t>Carbonato sódico</t>
  </si>
  <si>
    <t>Na2CO3</t>
  </si>
  <si>
    <t>Tanganica</t>
  </si>
  <si>
    <t>Cloruro potásico</t>
  </si>
  <si>
    <t>KCl</t>
  </si>
  <si>
    <t>Cloruro cálcico</t>
  </si>
  <si>
    <t>CaCl2</t>
  </si>
  <si>
    <t>Sulfato magnésico</t>
  </si>
  <si>
    <t>MgSO4+7 H2O</t>
  </si>
  <si>
    <t>Ratio Ca / Mg</t>
  </si>
  <si>
    <t xml:space="preserve">      Ratio formato Ca:Mg</t>
  </si>
  <si>
    <t>Ca (g) : Mg (g)</t>
  </si>
  <si>
    <t>Otros parámetros resultantes de interés</t>
  </si>
  <si>
    <t>Incremento TDS</t>
  </si>
  <si>
    <t>TDS debido a las sales añadidas arriba</t>
  </si>
  <si>
    <t>Cantidad K (ppm o mg/L)</t>
  </si>
  <si>
    <t>Incremento conductividad</t>
  </si>
  <si>
    <t>mS/cm</t>
  </si>
  <si>
    <t>TDS final estimado</t>
  </si>
  <si>
    <t>Se estima TDS por KH original (50% carbonatos, 50% bicarbonatos) y GH original y se suma el anterior</t>
  </si>
  <si>
    <t>Resumen de parámetros que se usarán</t>
  </si>
  <si>
    <t>Parametros que finalmente se seleccionan según las distintas entradas</t>
  </si>
  <si>
    <t>Parametro</t>
  </si>
  <si>
    <t>Valor</t>
  </si>
  <si>
    <t>Unidad</t>
  </si>
  <si>
    <r>
      <rPr>
        <b/>
        <sz val="14"/>
        <rFont val="Arial"/>
        <family val="2"/>
      </rPr>
      <t xml:space="preserve">AGRADECIMIENTOS
</t>
    </r>
    <r>
      <rPr>
        <sz val="6"/>
        <color rgb="FF000000"/>
        <rFont val="Arial"/>
        <family val="2"/>
      </rPr>
      <t xml:space="preserve">
</t>
    </r>
    <r>
      <rPr>
        <u/>
        <sz val="12"/>
        <color rgb="FF1155CC"/>
        <rFont val="Arial"/>
        <family val="2"/>
      </rPr>
      <t>Acuariofilia Madrid Asociación</t>
    </r>
    <r>
      <rPr>
        <sz val="12"/>
        <rFont val="Arial"/>
        <family val="2"/>
      </rPr>
      <t xml:space="preserve"> 
Foro</t>
    </r>
    <r>
      <rPr>
        <sz val="12"/>
        <color rgb="FF000000"/>
        <rFont val="Arial"/>
        <family val="2"/>
      </rPr>
      <t xml:space="preserve"> </t>
    </r>
    <r>
      <rPr>
        <sz val="12"/>
        <color rgb="FF1155CC"/>
        <rFont val="Arial"/>
        <family val="2"/>
      </rPr>
      <t xml:space="preserve">acuariofiliamadrid.org
</t>
    </r>
    <r>
      <rPr>
        <sz val="6"/>
        <color rgb="FF1155CC"/>
        <rFont val="Arial"/>
        <family val="2"/>
      </rPr>
      <t xml:space="preserve">
</t>
    </r>
    <r>
      <rPr>
        <sz val="10"/>
        <rFont val="Arial"/>
        <family val="2"/>
      </rPr>
      <t>Basado en la calculadora original publicada en riftmaniacos por Pedro (aka Peter)</t>
    </r>
  </si>
  <si>
    <t>Incremento GH</t>
  </si>
  <si>
    <t>Incremento KH</t>
  </si>
  <si>
    <t xml:space="preserve">                Ratio estandar Ca:Mg</t>
  </si>
  <si>
    <t xml:space="preserve">                Sales Ca / Sales Mg</t>
  </si>
  <si>
    <t>CaCl2 (g) / MgSO4+7 H2O (g)</t>
  </si>
  <si>
    <t xml:space="preserve">          Subida de GH por Ca</t>
  </si>
  <si>
    <t>(%)</t>
  </si>
  <si>
    <t xml:space="preserve">          Subida de GH por Mg</t>
  </si>
  <si>
    <t xml:space="preserve">     Subida KH por Bicarbonato (%)</t>
  </si>
  <si>
    <t xml:space="preserve">     Subida KH por Carbonato (%)</t>
  </si>
  <si>
    <t>Cantidad potasio (mg/L o ppm)</t>
  </si>
  <si>
    <t xml:space="preserve">          Sales de potasio por litro</t>
  </si>
  <si>
    <t>KCl (g) / L</t>
  </si>
  <si>
    <t>Este cálculo se basa en el cálculo de la pestaña sales. Rellenar primero esa pestaña, para un volumen cualquiera, y así se calculan las disoluciones con las proporciones adecuadas. A continuación, rellenar las zonas verdes de esta pertaña para calcular las disoluciones y la cantidad de disolución para tratar un volumen dado de agua</t>
  </si>
  <si>
    <t>Modo preparación</t>
  </si>
  <si>
    <t>En un recipiente de volmen calibrado,limpio y seco, añadir las sales y completar con agua hasta alcanzar el volumen de disolución a preparar</t>
  </si>
  <si>
    <t>Disolución</t>
  </si>
  <si>
    <t>Solubilidad</t>
  </si>
  <si>
    <t>Modo de tratamiento del agua</t>
  </si>
  <si>
    <t>Para tratar los litros de agua indicados (Litros de agua a tratar en esta pestaña), añadir los ml de disolución indicados.</t>
  </si>
  <si>
    <t>Volumen de disolución a preparar</t>
  </si>
  <si>
    <t>L</t>
  </si>
  <si>
    <t>Litros de agua a tratar</t>
  </si>
  <si>
    <t>Disolución 1: KH</t>
  </si>
  <si>
    <t>Porcentaje</t>
  </si>
  <si>
    <t>Concentración maxima (g/L)</t>
  </si>
  <si>
    <t>Concentración maxima prorrateada</t>
  </si>
  <si>
    <t>Concentración (g/L)</t>
  </si>
  <si>
    <t>Margen sobre concentración máxima</t>
  </si>
  <si>
    <t>Tratamiento (ml)</t>
  </si>
  <si>
    <t>Se recomienda no pasar del 85%</t>
  </si>
  <si>
    <t>Disolución 2: GH (Ca) y K</t>
  </si>
  <si>
    <t>Disolución 3: GH (Mg)</t>
  </si>
  <si>
    <t>Datos de las sales</t>
  </si>
  <si>
    <t>mg/L para subir 1ºdH de GH</t>
  </si>
  <si>
    <t>mg/L para subir 1ºdH de KH</t>
  </si>
  <si>
    <t>Peso molecular</t>
  </si>
  <si>
    <t>Peso molecular Ca</t>
  </si>
  <si>
    <t>Peso molecular Mg</t>
  </si>
  <si>
    <t>Peso molecular K</t>
  </si>
  <si>
    <t>Peso molecular Agua</t>
  </si>
  <si>
    <t>Peso molecular MgSO4</t>
  </si>
  <si>
    <t>Valencia</t>
  </si>
  <si>
    <t>Solubilidad (g/L)</t>
  </si>
  <si>
    <t>Peso molecular HCO3</t>
  </si>
  <si>
    <t>Carbonato calcico</t>
  </si>
  <si>
    <t>CaCO3</t>
  </si>
  <si>
    <t>Constante de basicidad</t>
  </si>
  <si>
    <t xml:space="preserve"> PH de la disolución</t>
  </si>
  <si>
    <t>Molaridad</t>
  </si>
  <si>
    <t>[HO-]</t>
  </si>
  <si>
    <t>POH</t>
  </si>
  <si>
    <r>
      <rPr>
        <b/>
        <sz val="9"/>
        <color theme="1"/>
        <rFont val="Arial"/>
        <family val="2"/>
      </rPr>
      <t>OPCIONAL</t>
    </r>
    <r>
      <rPr>
        <sz val="9"/>
        <color theme="1"/>
        <rFont val="Arial"/>
        <family val="2"/>
      </rPr>
      <t xml:space="preserve"> 
Dejar en blanco para que se use el parámetro del lago, si se rellenan, "sobreescribe" el parámetro del lago.</t>
    </r>
  </si>
  <si>
    <t>Conductividad final estimada</t>
  </si>
  <si>
    <t>pH de la disolución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</si>
</sst>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00"/>
    <numFmt numFmtId="165" formatCode="0.0"/>
    <numFmt numFmtId="166" formatCode="0.00000"/>
    <numFmt numFmtId="167" formatCode="0.000"/>
  </numFmts>
  <fonts count="49" x14ac:knownFonts="1">
    <font>
      <sz val="10"/>
      <color rgb="FF000000"/>
      <name val="Arial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  <scheme val="minor"/>
    </font>
    <font>
      <u/>
      <sz val="9"/>
      <color rgb="FF0000FF"/>
      <name val="Arial"/>
      <family val="2"/>
    </font>
    <font>
      <sz val="6"/>
      <color theme="1"/>
      <name val="Arial"/>
      <family val="2"/>
    </font>
    <font>
      <b/>
      <sz val="10"/>
      <color rgb="FFFFFFFF"/>
      <name val="Arial"/>
      <family val="2"/>
    </font>
    <font>
      <b/>
      <sz val="10"/>
      <color rgb="FFF3F3F3"/>
      <name val="Arial"/>
      <family val="2"/>
    </font>
    <font>
      <b/>
      <i/>
      <sz val="10"/>
      <color theme="1"/>
      <name val="Arial"/>
      <family val="2"/>
    </font>
    <font>
      <u/>
      <sz val="14"/>
      <color rgb="FF0000FF"/>
      <name val="Arial"/>
      <family val="2"/>
    </font>
    <font>
      <sz val="6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b/>
      <sz val="9"/>
      <color rgb="FF000000"/>
      <name val="Arial"/>
      <family val="2"/>
    </font>
    <font>
      <b/>
      <sz val="11"/>
      <color theme="0"/>
      <name val="Arial"/>
      <family val="2"/>
      <scheme val="minor"/>
    </font>
    <font>
      <b/>
      <sz val="9"/>
      <color rgb="FFEFEFEF"/>
      <name val="Arial"/>
      <family val="2"/>
      <scheme val="minor"/>
    </font>
    <font>
      <sz val="9"/>
      <color rgb="FFEFEFEF"/>
      <name val="Arial"/>
      <family val="2"/>
      <scheme val="minor"/>
    </font>
    <font>
      <sz val="10"/>
      <color rgb="FFFFFFFF"/>
      <name val="Arial"/>
      <family val="2"/>
      <scheme val="minor"/>
    </font>
    <font>
      <sz val="10"/>
      <color rgb="FF000000"/>
      <name val="Arial"/>
      <family val="2"/>
    </font>
    <font>
      <b/>
      <sz val="10"/>
      <color theme="0"/>
      <name val="Arial"/>
      <family val="2"/>
      <scheme val="minor"/>
    </font>
    <font>
      <sz val="10"/>
      <color theme="0"/>
      <name val="Arial"/>
      <family val="2"/>
      <scheme val="minor"/>
    </font>
    <font>
      <b/>
      <sz val="12"/>
      <color rgb="FFFFFFFF"/>
      <name val="Arial"/>
      <family val="2"/>
      <scheme val="minor"/>
    </font>
    <font>
      <sz val="12"/>
      <color theme="0"/>
      <name val="Arial"/>
      <family val="2"/>
      <scheme val="minor"/>
    </font>
    <font>
      <sz val="7"/>
      <color theme="0"/>
      <name val="Arial"/>
      <family val="2"/>
      <scheme val="minor"/>
    </font>
    <font>
      <i/>
      <sz val="10"/>
      <color rgb="FFC0C0C0"/>
      <name val="Arial"/>
      <family val="2"/>
      <scheme val="minor"/>
    </font>
    <font>
      <i/>
      <sz val="10"/>
      <color rgb="FFC0C0C0"/>
      <name val="Arial"/>
      <family val="2"/>
    </font>
    <font>
      <sz val="9"/>
      <name val="Arial"/>
      <family val="2"/>
    </font>
    <font>
      <b/>
      <sz val="9"/>
      <color rgb="FF38761D"/>
      <name val="Arial"/>
      <family val="2"/>
    </font>
    <font>
      <b/>
      <sz val="9"/>
      <color rgb="FF1155CC"/>
      <name val="Arial"/>
      <family val="2"/>
    </font>
    <font>
      <u/>
      <sz val="9"/>
      <name val="Arial"/>
      <family val="2"/>
    </font>
    <font>
      <sz val="9"/>
      <color rgb="FF000000"/>
      <name val="Arial"/>
      <family val="2"/>
    </font>
    <font>
      <u/>
      <sz val="9"/>
      <color rgb="FF1155CC"/>
      <name val="Arial"/>
      <family val="2"/>
    </font>
    <font>
      <b/>
      <sz val="14"/>
      <name val="Arial"/>
      <family val="2"/>
    </font>
    <font>
      <sz val="6"/>
      <color rgb="FF000000"/>
      <name val="Arial"/>
      <family val="2"/>
    </font>
    <font>
      <u/>
      <sz val="12"/>
      <color rgb="FF1155CC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2"/>
      <color rgb="FF1155CC"/>
      <name val="Arial"/>
      <family val="2"/>
    </font>
    <font>
      <sz val="6"/>
      <color rgb="FF1155CC"/>
      <name val="Arial"/>
      <family val="2"/>
    </font>
    <font>
      <b/>
      <sz val="10"/>
      <color rgb="FF000000"/>
      <name val="Arial"/>
      <family val="2"/>
      <scheme val="minor"/>
    </font>
    <font>
      <sz val="8"/>
      <color theme="1"/>
      <name val="Arial"/>
      <family val="2"/>
    </font>
    <font>
      <sz val="8"/>
      <color rgb="FF000000"/>
      <name val="Arial"/>
      <family val="2"/>
      <scheme val="minor"/>
    </font>
    <font>
      <sz val="8"/>
      <name val="Arial"/>
      <family val="2"/>
    </font>
    <font>
      <sz val="9"/>
      <color rgb="FF000000"/>
      <name val="Arial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  <scheme val="minor"/>
    </font>
    <font>
      <b/>
      <sz val="10"/>
      <color rgb="FFFFFFFF"/>
      <name val="Arial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E5EBE3"/>
        <bgColor rgb="FFE5EBE3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4A86E8"/>
        <bgColor rgb="FF4A86E8"/>
      </patternFill>
    </fill>
    <fill>
      <patternFill patternType="solid">
        <fgColor rgb="FF6D9EEB"/>
        <bgColor rgb="FF6D9EEB"/>
      </patternFill>
    </fill>
    <fill>
      <patternFill patternType="solid">
        <fgColor rgb="FFC9DAF8"/>
        <bgColor rgb="FFC9DAF8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D9EAD3"/>
      </patternFill>
    </fill>
  </fills>
  <borders count="4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/>
    <xf numFmtId="0" fontId="1" fillId="0" borderId="4" xfId="0" applyFont="1" applyBorder="1" applyAlignment="1"/>
    <xf numFmtId="0" fontId="1" fillId="0" borderId="6" xfId="0" applyFont="1" applyBorder="1" applyAlignment="1"/>
    <xf numFmtId="0" fontId="1" fillId="0" borderId="0" xfId="0" applyFont="1"/>
    <xf numFmtId="0" fontId="1" fillId="7" borderId="4" xfId="0" applyFont="1" applyFill="1" applyBorder="1" applyAlignment="1"/>
    <xf numFmtId="0" fontId="1" fillId="0" borderId="0" xfId="0" applyFont="1"/>
    <xf numFmtId="0" fontId="4" fillId="0" borderId="0" xfId="0" applyFont="1" applyAlignment="1">
      <alignment horizontal="right"/>
    </xf>
    <xf numFmtId="0" fontId="12" fillId="0" borderId="0" xfId="0" applyFont="1" applyAlignment="1"/>
    <xf numFmtId="0" fontId="16" fillId="6" borderId="4" xfId="0" applyFont="1" applyFill="1" applyBorder="1" applyAlignment="1">
      <alignment wrapText="1"/>
    </xf>
    <xf numFmtId="0" fontId="16" fillId="6" borderId="0" xfId="0" applyFont="1" applyFill="1" applyAlignment="1">
      <alignment wrapText="1"/>
    </xf>
    <xf numFmtId="0" fontId="17" fillId="6" borderId="0" xfId="0" applyFont="1" applyFill="1"/>
    <xf numFmtId="0" fontId="18" fillId="6" borderId="5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19" fillId="7" borderId="0" xfId="0" applyFont="1" applyFill="1" applyAlignment="1">
      <alignment horizontal="left"/>
    </xf>
    <xf numFmtId="0" fontId="4" fillId="7" borderId="4" xfId="0" applyFont="1" applyFill="1" applyBorder="1" applyAlignment="1"/>
    <xf numFmtId="0" fontId="20" fillId="6" borderId="6" xfId="0" applyFont="1" applyFill="1" applyBorder="1" applyAlignment="1"/>
    <xf numFmtId="0" fontId="21" fillId="6" borderId="7" xfId="0" applyFont="1" applyFill="1" applyBorder="1"/>
    <xf numFmtId="2" fontId="21" fillId="6" borderId="7" xfId="0" applyNumberFormat="1" applyFont="1" applyFill="1" applyBorder="1"/>
    <xf numFmtId="0" fontId="20" fillId="6" borderId="7" xfId="0" applyFont="1" applyFill="1" applyBorder="1" applyAlignment="1">
      <alignment horizontal="right"/>
    </xf>
    <xf numFmtId="0" fontId="22" fillId="6" borderId="7" xfId="0" applyFont="1" applyFill="1" applyBorder="1" applyAlignment="1">
      <alignment horizontal="right"/>
    </xf>
    <xf numFmtId="165" fontId="23" fillId="6" borderId="7" xfId="0" applyNumberFormat="1" applyFont="1" applyFill="1" applyBorder="1"/>
    <xf numFmtId="167" fontId="24" fillId="6" borderId="8" xfId="0" applyNumberFormat="1" applyFont="1" applyFill="1" applyBorder="1" applyAlignment="1">
      <alignment wrapText="1"/>
    </xf>
    <xf numFmtId="2" fontId="4" fillId="0" borderId="0" xfId="0" applyNumberFormat="1" applyFont="1"/>
    <xf numFmtId="167" fontId="4" fillId="0" borderId="0" xfId="0" applyNumberFormat="1" applyFont="1"/>
    <xf numFmtId="0" fontId="1" fillId="0" borderId="20" xfId="0" applyFont="1" applyBorder="1" applyAlignment="1"/>
    <xf numFmtId="0" fontId="41" fillId="3" borderId="5" xfId="0" applyFont="1" applyFill="1" applyBorder="1" applyAlignment="1"/>
    <xf numFmtId="0" fontId="41" fillId="3" borderId="8" xfId="0" applyFont="1" applyFill="1" applyBorder="1" applyAlignment="1"/>
    <xf numFmtId="0" fontId="0" fillId="0" borderId="0" xfId="0" applyFont="1" applyAlignment="1">
      <alignment vertical="center"/>
    </xf>
    <xf numFmtId="0" fontId="0" fillId="0" borderId="20" xfId="0" applyFont="1" applyBorder="1" applyAlignment="1"/>
    <xf numFmtId="0" fontId="12" fillId="0" borderId="20" xfId="0" applyFont="1" applyBorder="1" applyAlignment="1">
      <alignment vertical="center" wrapText="1"/>
    </xf>
    <xf numFmtId="2" fontId="1" fillId="0" borderId="20" xfId="0" applyNumberFormat="1" applyFont="1" applyBorder="1" applyAlignment="1"/>
    <xf numFmtId="0" fontId="4" fillId="0" borderId="20" xfId="0" applyFont="1" applyBorder="1" applyAlignment="1"/>
    <xf numFmtId="4" fontId="4" fillId="0" borderId="20" xfId="0" applyNumberFormat="1" applyFont="1" applyBorder="1" applyAlignment="1"/>
    <xf numFmtId="3" fontId="4" fillId="0" borderId="20" xfId="0" applyNumberFormat="1" applyFont="1" applyBorder="1" applyAlignment="1"/>
    <xf numFmtId="0" fontId="4" fillId="0" borderId="20" xfId="0" applyFont="1" applyBorder="1"/>
    <xf numFmtId="0" fontId="0" fillId="0" borderId="23" xfId="0" applyFont="1" applyBorder="1" applyAlignment="1"/>
    <xf numFmtId="0" fontId="12" fillId="0" borderId="24" xfId="0" applyFont="1" applyBorder="1" applyAlignment="1">
      <alignment vertical="center"/>
    </xf>
    <xf numFmtId="0" fontId="12" fillId="0" borderId="25" xfId="0" applyFont="1" applyFill="1" applyBorder="1" applyAlignment="1">
      <alignment horizontal="center" vertical="center" wrapText="1"/>
    </xf>
    <xf numFmtId="0" fontId="1" fillId="0" borderId="24" xfId="0" applyFont="1" applyBorder="1" applyAlignment="1"/>
    <xf numFmtId="0" fontId="0" fillId="0" borderId="25" xfId="0" applyFont="1" applyBorder="1" applyAlignment="1"/>
    <xf numFmtId="0" fontId="4" fillId="0" borderId="24" xfId="0" applyFont="1" applyBorder="1" applyAlignment="1"/>
    <xf numFmtId="11" fontId="0" fillId="0" borderId="25" xfId="0" applyNumberFormat="1" applyFont="1" applyBorder="1" applyAlignment="1"/>
    <xf numFmtId="0" fontId="4" fillId="0" borderId="24" xfId="0" applyFont="1" applyBorder="1"/>
    <xf numFmtId="0" fontId="25" fillId="0" borderId="26" xfId="0" applyFont="1" applyBorder="1" applyAlignment="1"/>
    <xf numFmtId="0" fontId="25" fillId="0" borderId="27" xfId="0" applyFont="1" applyBorder="1" applyAlignment="1"/>
    <xf numFmtId="0" fontId="26" fillId="0" borderId="27" xfId="0" applyFont="1" applyBorder="1" applyAlignment="1"/>
    <xf numFmtId="0" fontId="25" fillId="0" borderId="27" xfId="0" applyFont="1" applyBorder="1"/>
    <xf numFmtId="0" fontId="0" fillId="0" borderId="28" xfId="0" applyFont="1" applyBorder="1" applyAlignment="1"/>
    <xf numFmtId="0" fontId="18" fillId="6" borderId="25" xfId="0" applyFont="1" applyFill="1" applyBorder="1" applyAlignment="1">
      <alignment wrapText="1"/>
    </xf>
    <xf numFmtId="0" fontId="16" fillId="6" borderId="24" xfId="0" applyFont="1" applyFill="1" applyBorder="1" applyAlignment="1">
      <alignment wrapText="1"/>
    </xf>
    <xf numFmtId="0" fontId="16" fillId="6" borderId="20" xfId="0" applyFont="1" applyFill="1" applyBorder="1" applyAlignment="1">
      <alignment wrapText="1"/>
    </xf>
    <xf numFmtId="0" fontId="17" fillId="6" borderId="20" xfId="0" applyFont="1" applyFill="1" applyBorder="1"/>
    <xf numFmtId="0" fontId="1" fillId="7" borderId="24" xfId="0" applyFont="1" applyFill="1" applyBorder="1" applyAlignment="1"/>
    <xf numFmtId="0" fontId="19" fillId="7" borderId="20" xfId="0" applyFont="1" applyFill="1" applyBorder="1" applyAlignment="1">
      <alignment horizontal="left"/>
    </xf>
    <xf numFmtId="0" fontId="4" fillId="7" borderId="24" xfId="0" applyFont="1" applyFill="1" applyBorder="1" applyAlignment="1"/>
    <xf numFmtId="0" fontId="20" fillId="6" borderId="26" xfId="0" applyFont="1" applyFill="1" applyBorder="1" applyAlignment="1"/>
    <xf numFmtId="0" fontId="21" fillId="6" borderId="27" xfId="0" applyFont="1" applyFill="1" applyBorder="1"/>
    <xf numFmtId="2" fontId="21" fillId="6" borderId="27" xfId="0" applyNumberFormat="1" applyFont="1" applyFill="1" applyBorder="1"/>
    <xf numFmtId="0" fontId="20" fillId="6" borderId="27" xfId="0" applyFont="1" applyFill="1" applyBorder="1" applyAlignment="1">
      <alignment horizontal="right"/>
    </xf>
    <xf numFmtId="0" fontId="22" fillId="6" borderId="27" xfId="0" applyFont="1" applyFill="1" applyBorder="1" applyAlignment="1">
      <alignment horizontal="right"/>
    </xf>
    <xf numFmtId="165" fontId="23" fillId="6" borderId="27" xfId="0" applyNumberFormat="1" applyFont="1" applyFill="1" applyBorder="1"/>
    <xf numFmtId="167" fontId="24" fillId="6" borderId="28" xfId="0" applyNumberFormat="1" applyFont="1" applyFill="1" applyBorder="1" applyAlignment="1">
      <alignment wrapText="1"/>
    </xf>
    <xf numFmtId="0" fontId="48" fillId="6" borderId="20" xfId="0" applyFont="1" applyFill="1" applyBorder="1" applyAlignment="1">
      <alignment horizontal="center" vertical="center" wrapText="1"/>
    </xf>
    <xf numFmtId="0" fontId="48" fillId="6" borderId="25" xfId="0" applyFont="1" applyFill="1" applyBorder="1" applyAlignment="1">
      <alignment horizontal="center" vertical="center" wrapText="1"/>
    </xf>
    <xf numFmtId="0" fontId="1" fillId="4" borderId="0" xfId="0" applyFont="1" applyFill="1" applyAlignment="1" applyProtection="1">
      <alignment horizontal="right"/>
      <protection locked="0"/>
    </xf>
    <xf numFmtId="0" fontId="1" fillId="4" borderId="7" xfId="0" applyFont="1" applyFill="1" applyBorder="1" applyAlignment="1" applyProtection="1">
      <protection locked="0"/>
    </xf>
    <xf numFmtId="0" fontId="1" fillId="2" borderId="0" xfId="0" applyFont="1" applyFill="1" applyAlignment="1" applyProtection="1">
      <protection locked="0"/>
    </xf>
    <xf numFmtId="0" fontId="1" fillId="2" borderId="7" xfId="0" applyFont="1" applyFill="1" applyBorder="1" applyAlignment="1" applyProtection="1">
      <protection locked="0"/>
    </xf>
    <xf numFmtId="10" fontId="4" fillId="4" borderId="25" xfId="0" applyNumberFormat="1" applyFont="1" applyFill="1" applyBorder="1" applyAlignment="1" applyProtection="1">
      <protection locked="0"/>
    </xf>
    <xf numFmtId="10" fontId="4" fillId="4" borderId="5" xfId="0" applyNumberFormat="1" applyFont="1" applyFill="1" applyBorder="1" applyAlignment="1" applyProtection="1">
      <protection locked="0"/>
    </xf>
    <xf numFmtId="10" fontId="4" fillId="9" borderId="25" xfId="0" applyNumberFormat="1" applyFont="1" applyFill="1" applyBorder="1" applyAlignment="1" applyProtection="1"/>
    <xf numFmtId="10" fontId="4" fillId="9" borderId="5" xfId="0" applyNumberFormat="1" applyFont="1" applyFill="1" applyBorder="1" applyAlignment="1" applyProtection="1"/>
    <xf numFmtId="0" fontId="1" fillId="0" borderId="4" xfId="0" applyFont="1" applyBorder="1" applyAlignment="1" applyProtection="1">
      <protection hidden="1"/>
    </xf>
    <xf numFmtId="0" fontId="1" fillId="0" borderId="6" xfId="0" applyFont="1" applyBorder="1" applyAlignment="1" applyProtection="1">
      <protection hidden="1"/>
    </xf>
    <xf numFmtId="0" fontId="1" fillId="0" borderId="0" xfId="0" applyFont="1" applyAlignment="1" applyProtection="1">
      <protection hidden="1"/>
    </xf>
    <xf numFmtId="0" fontId="8" fillId="6" borderId="4" xfId="0" applyFont="1" applyFill="1" applyBorder="1" applyAlignment="1" applyProtection="1">
      <protection hidden="1"/>
    </xf>
    <xf numFmtId="0" fontId="8" fillId="6" borderId="0" xfId="0" applyFont="1" applyFill="1" applyAlignment="1" applyProtection="1">
      <protection hidden="1"/>
    </xf>
    <xf numFmtId="0" fontId="8" fillId="6" borderId="5" xfId="0" applyFont="1" applyFill="1" applyBorder="1" applyAlignment="1" applyProtection="1">
      <protection hidden="1"/>
    </xf>
    <xf numFmtId="0" fontId="1" fillId="7" borderId="4" xfId="0" applyFont="1" applyFill="1" applyBorder="1" applyAlignment="1" applyProtection="1">
      <protection hidden="1"/>
    </xf>
    <xf numFmtId="0" fontId="1" fillId="7" borderId="0" xfId="0" applyFont="1" applyFill="1" applyAlignment="1" applyProtection="1">
      <protection hidden="1"/>
    </xf>
    <xf numFmtId="2" fontId="1" fillId="7" borderId="0" xfId="0" applyNumberFormat="1" applyFont="1" applyFill="1" applyAlignment="1" applyProtection="1">
      <alignment horizontal="right"/>
      <protection hidden="1"/>
    </xf>
    <xf numFmtId="2" fontId="1" fillId="7" borderId="5" xfId="0" applyNumberFormat="1" applyFont="1" applyFill="1" applyBorder="1" applyAlignment="1" applyProtection="1">
      <alignment horizontal="right"/>
      <protection hidden="1"/>
    </xf>
    <xf numFmtId="0" fontId="1" fillId="7" borderId="6" xfId="0" applyFont="1" applyFill="1" applyBorder="1" applyAlignment="1" applyProtection="1">
      <protection hidden="1"/>
    </xf>
    <xf numFmtId="0" fontId="1" fillId="7" borderId="7" xfId="0" applyFont="1" applyFill="1" applyBorder="1" applyAlignment="1" applyProtection="1">
      <protection hidden="1"/>
    </xf>
    <xf numFmtId="2" fontId="1" fillId="7" borderId="7" xfId="0" applyNumberFormat="1" applyFont="1" applyFill="1" applyBorder="1" applyAlignment="1" applyProtection="1">
      <alignment horizontal="right"/>
      <protection hidden="1"/>
    </xf>
    <xf numFmtId="2" fontId="1" fillId="7" borderId="8" xfId="0" applyNumberFormat="1" applyFont="1" applyFill="1" applyBorder="1" applyAlignment="1" applyProtection="1">
      <alignment horizontal="right"/>
      <protection hidden="1"/>
    </xf>
    <xf numFmtId="2" fontId="2" fillId="0" borderId="0" xfId="0" applyNumberFormat="1" applyFont="1" applyAlignment="1" applyProtection="1">
      <protection hidden="1"/>
    </xf>
    <xf numFmtId="0" fontId="1" fillId="7" borderId="4" xfId="0" applyFont="1" applyFill="1" applyBorder="1" applyAlignment="1" applyProtection="1">
      <alignment horizontal="left" vertical="center"/>
      <protection hidden="1"/>
    </xf>
    <xf numFmtId="2" fontId="1" fillId="7" borderId="0" xfId="0" applyNumberFormat="1" applyFont="1" applyFill="1" applyAlignment="1" applyProtection="1">
      <alignment horizontal="right" vertical="center"/>
      <protection hidden="1"/>
    </xf>
    <xf numFmtId="0" fontId="4" fillId="0" borderId="17" xfId="0" applyFont="1" applyBorder="1" applyProtection="1">
      <protection hidden="1"/>
    </xf>
    <xf numFmtId="0" fontId="12" fillId="0" borderId="4" xfId="0" applyFont="1" applyBorder="1" applyAlignment="1" applyProtection="1">
      <alignment wrapText="1"/>
      <protection hidden="1"/>
    </xf>
    <xf numFmtId="0" fontId="12" fillId="0" borderId="0" xfId="0" applyFont="1" applyAlignment="1" applyProtection="1">
      <alignment wrapText="1"/>
      <protection hidden="1"/>
    </xf>
    <xf numFmtId="0" fontId="12" fillId="0" borderId="5" xfId="0" applyFont="1" applyBorder="1" applyAlignment="1" applyProtection="1">
      <alignment wrapText="1"/>
      <protection hidden="1"/>
    </xf>
    <xf numFmtId="0" fontId="12" fillId="0" borderId="18" xfId="0" applyFont="1" applyBorder="1" applyAlignment="1" applyProtection="1">
      <alignment wrapText="1"/>
      <protection hidden="1"/>
    </xf>
    <xf numFmtId="2" fontId="1" fillId="0" borderId="5" xfId="0" applyNumberFormat="1" applyFont="1" applyBorder="1" applyAlignment="1" applyProtection="1">
      <protection hidden="1"/>
    </xf>
    <xf numFmtId="0" fontId="4" fillId="0" borderId="18" xfId="0" applyFont="1" applyBorder="1" applyAlignment="1" applyProtection="1">
      <protection hidden="1"/>
    </xf>
    <xf numFmtId="4" fontId="4" fillId="0" borderId="18" xfId="0" applyNumberFormat="1" applyFont="1" applyBorder="1" applyProtection="1">
      <protection hidden="1"/>
    </xf>
    <xf numFmtId="0" fontId="1" fillId="0" borderId="7" xfId="0" applyFont="1" applyBorder="1" applyAlignment="1" applyProtection="1">
      <protection hidden="1"/>
    </xf>
    <xf numFmtId="2" fontId="1" fillId="0" borderId="8" xfId="0" applyNumberFormat="1" applyFont="1" applyBorder="1" applyAlignment="1" applyProtection="1">
      <protection hidden="1"/>
    </xf>
    <xf numFmtId="0" fontId="4" fillId="0" borderId="19" xfId="0" applyFont="1" applyBorder="1" applyAlignment="1" applyProtection="1">
      <protection hidden="1"/>
    </xf>
    <xf numFmtId="4" fontId="4" fillId="0" borderId="19" xfId="0" applyNumberFormat="1" applyFont="1" applyBorder="1" applyProtection="1">
      <protection hidden="1"/>
    </xf>
    <xf numFmtId="0" fontId="40" fillId="8" borderId="20" xfId="0" applyFont="1" applyFill="1" applyBorder="1" applyAlignment="1" applyProtection="1">
      <alignment horizontal="center"/>
      <protection hidden="1"/>
    </xf>
    <xf numFmtId="0" fontId="0" fillId="8" borderId="20" xfId="0" applyFont="1" applyFill="1" applyBorder="1" applyAlignment="1" applyProtection="1">
      <protection hidden="1"/>
    </xf>
    <xf numFmtId="0" fontId="0" fillId="8" borderId="25" xfId="0" applyFont="1" applyFill="1" applyBorder="1" applyAlignment="1" applyProtection="1">
      <protection hidden="1"/>
    </xf>
    <xf numFmtId="2" fontId="40" fillId="8" borderId="27" xfId="0" applyNumberFormat="1" applyFont="1" applyFill="1" applyBorder="1" applyAlignment="1" applyProtection="1">
      <alignment horizontal="center"/>
      <protection hidden="1"/>
    </xf>
    <xf numFmtId="2" fontId="0" fillId="8" borderId="27" xfId="0" applyNumberFormat="1" applyFont="1" applyFill="1" applyBorder="1" applyAlignment="1" applyProtection="1">
      <alignment horizontal="center"/>
      <protection hidden="1"/>
    </xf>
    <xf numFmtId="11" fontId="0" fillId="8" borderId="27" xfId="0" applyNumberFormat="1" applyFont="1" applyFill="1" applyBorder="1" applyAlignment="1" applyProtection="1">
      <alignment horizontal="center"/>
      <protection hidden="1"/>
    </xf>
    <xf numFmtId="2" fontId="0" fillId="8" borderId="28" xfId="0" applyNumberFormat="1" applyFont="1" applyFill="1" applyBorder="1" applyAlignment="1" applyProtection="1">
      <alignment horizontal="center"/>
      <protection hidden="1"/>
    </xf>
    <xf numFmtId="10" fontId="4" fillId="7" borderId="20" xfId="0" applyNumberFormat="1" applyFont="1" applyFill="1" applyBorder="1" applyProtection="1">
      <protection hidden="1"/>
    </xf>
    <xf numFmtId="2" fontId="4" fillId="7" borderId="20" xfId="0" applyNumberFormat="1" applyFont="1" applyFill="1" applyBorder="1" applyProtection="1">
      <protection hidden="1"/>
    </xf>
    <xf numFmtId="2" fontId="12" fillId="7" borderId="20" xfId="0" applyNumberFormat="1" applyFont="1" applyFill="1" applyBorder="1" applyProtection="1">
      <protection hidden="1"/>
    </xf>
    <xf numFmtId="0" fontId="4" fillId="7" borderId="20" xfId="0" applyFont="1" applyFill="1" applyBorder="1" applyProtection="1">
      <protection hidden="1"/>
    </xf>
    <xf numFmtId="167" fontId="4" fillId="7" borderId="20" xfId="0" applyNumberFormat="1" applyFont="1" applyFill="1" applyBorder="1" applyProtection="1">
      <protection hidden="1"/>
    </xf>
    <xf numFmtId="10" fontId="4" fillId="7" borderId="0" xfId="0" applyNumberFormat="1" applyFont="1" applyFill="1" applyProtection="1">
      <protection hidden="1"/>
    </xf>
    <xf numFmtId="2" fontId="4" fillId="7" borderId="0" xfId="0" applyNumberFormat="1" applyFont="1" applyFill="1" applyProtection="1">
      <protection hidden="1"/>
    </xf>
    <xf numFmtId="2" fontId="12" fillId="7" borderId="0" xfId="0" applyNumberFormat="1" applyFont="1" applyFill="1" applyProtection="1">
      <protection hidden="1"/>
    </xf>
    <xf numFmtId="0" fontId="4" fillId="7" borderId="0" xfId="0" applyFont="1" applyFill="1" applyProtection="1">
      <protection hidden="1"/>
    </xf>
    <xf numFmtId="167" fontId="4" fillId="7" borderId="0" xfId="0" applyNumberFormat="1" applyFont="1" applyFill="1" applyProtection="1">
      <protection hidden="1"/>
    </xf>
    <xf numFmtId="0" fontId="9" fillId="0" borderId="29" xfId="0" applyFont="1" applyBorder="1" applyAlignment="1" applyProtection="1">
      <alignment horizontal="center" wrapText="1"/>
      <protection hidden="1"/>
    </xf>
    <xf numFmtId="0" fontId="1" fillId="0" borderId="29" xfId="0" applyFont="1" applyBorder="1" applyAlignment="1" applyProtection="1">
      <alignment horizontal="right"/>
      <protection hidden="1"/>
    </xf>
    <xf numFmtId="165" fontId="1" fillId="0" borderId="29" xfId="0" applyNumberFormat="1" applyFont="1" applyBorder="1" applyAlignment="1" applyProtection="1">
      <alignment horizontal="right"/>
      <protection hidden="1"/>
    </xf>
    <xf numFmtId="165" fontId="1" fillId="3" borderId="29" xfId="0" applyNumberFormat="1" applyFont="1" applyFill="1" applyBorder="1" applyAlignment="1" applyProtection="1">
      <alignment horizontal="right"/>
      <protection hidden="1"/>
    </xf>
    <xf numFmtId="2" fontId="2" fillId="0" borderId="29" xfId="0" applyNumberFormat="1" applyFont="1" applyBorder="1" applyAlignment="1" applyProtection="1">
      <alignment horizontal="right"/>
      <protection hidden="1"/>
    </xf>
    <xf numFmtId="164" fontId="1" fillId="3" borderId="29" xfId="0" applyNumberFormat="1" applyFont="1" applyFill="1" applyBorder="1" applyAlignment="1" applyProtection="1">
      <alignment horizontal="right"/>
      <protection hidden="1"/>
    </xf>
    <xf numFmtId="10" fontId="1" fillId="3" borderId="29" xfId="0" applyNumberFormat="1" applyFont="1" applyFill="1" applyBorder="1" applyAlignment="1" applyProtection="1">
      <alignment horizontal="right"/>
      <protection hidden="1"/>
    </xf>
    <xf numFmtId="164" fontId="1" fillId="0" borderId="29" xfId="0" applyNumberFormat="1" applyFont="1" applyBorder="1" applyAlignment="1" applyProtection="1">
      <alignment horizontal="right"/>
      <protection hidden="1"/>
    </xf>
    <xf numFmtId="0" fontId="0" fillId="0" borderId="29" xfId="0" applyFont="1" applyBorder="1" applyAlignment="1"/>
    <xf numFmtId="10" fontId="1" fillId="3" borderId="29" xfId="0" applyNumberFormat="1" applyFont="1" applyFill="1" applyBorder="1" applyAlignment="1"/>
    <xf numFmtId="0" fontId="4" fillId="4" borderId="29" xfId="0" applyFont="1" applyFill="1" applyBorder="1" applyAlignment="1" applyProtection="1">
      <protection locked="0"/>
    </xf>
    <xf numFmtId="0" fontId="4" fillId="0" borderId="35" xfId="0" applyFont="1" applyBorder="1" applyAlignment="1"/>
    <xf numFmtId="0" fontId="47" fillId="3" borderId="36" xfId="0" applyFont="1" applyFill="1" applyBorder="1" applyAlignment="1"/>
    <xf numFmtId="0" fontId="4" fillId="0" borderId="37" xfId="0" applyFont="1" applyBorder="1" applyAlignment="1"/>
    <xf numFmtId="0" fontId="4" fillId="4" borderId="38" xfId="0" applyFont="1" applyFill="1" applyBorder="1" applyAlignment="1" applyProtection="1">
      <protection locked="0"/>
    </xf>
    <xf numFmtId="0" fontId="47" fillId="3" borderId="39" xfId="0" applyFont="1" applyFill="1" applyBorder="1" applyAlignment="1"/>
    <xf numFmtId="0" fontId="11" fillId="3" borderId="31" xfId="0" applyFont="1" applyFill="1" applyBorder="1" applyAlignment="1"/>
    <xf numFmtId="0" fontId="9" fillId="0" borderId="24" xfId="0" applyFont="1" applyBorder="1" applyAlignment="1" applyProtection="1">
      <alignment horizontal="center" wrapText="1"/>
      <protection hidden="1"/>
    </xf>
    <xf numFmtId="0" fontId="9" fillId="0" borderId="36" xfId="0" applyFont="1" applyBorder="1" applyAlignment="1" applyProtection="1">
      <alignment horizontal="center" wrapText="1"/>
      <protection hidden="1"/>
    </xf>
    <xf numFmtId="0" fontId="1" fillId="0" borderId="24" xfId="0" applyFont="1" applyBorder="1" applyAlignment="1" applyProtection="1">
      <protection hidden="1"/>
    </xf>
    <xf numFmtId="0" fontId="41" fillId="3" borderId="36" xfId="0" applyFont="1" applyFill="1" applyBorder="1" applyAlignment="1" applyProtection="1">
      <protection hidden="1"/>
    </xf>
    <xf numFmtId="0" fontId="1" fillId="0" borderId="26" xfId="0" applyFont="1" applyBorder="1" applyAlignment="1" applyProtection="1">
      <protection hidden="1"/>
    </xf>
    <xf numFmtId="166" fontId="1" fillId="0" borderId="38" xfId="0" applyNumberFormat="1" applyFont="1" applyBorder="1" applyAlignment="1" applyProtection="1">
      <alignment horizontal="right"/>
      <protection hidden="1"/>
    </xf>
    <xf numFmtId="0" fontId="41" fillId="3" borderId="39" xfId="0" applyFont="1" applyFill="1" applyBorder="1" applyAlignment="1" applyProtection="1">
      <protection hidden="1"/>
    </xf>
    <xf numFmtId="0" fontId="1" fillId="0" borderId="29" xfId="0" applyFont="1" applyBorder="1" applyAlignment="1" applyProtection="1">
      <protection hidden="1"/>
    </xf>
    <xf numFmtId="2" fontId="1" fillId="0" borderId="29" xfId="0" applyNumberFormat="1" applyFont="1" applyBorder="1" applyAlignment="1" applyProtection="1">
      <alignment horizontal="right"/>
      <protection hidden="1"/>
    </xf>
    <xf numFmtId="0" fontId="1" fillId="0" borderId="35" xfId="0" applyFont="1" applyBorder="1" applyAlignment="1" applyProtection="1">
      <protection hidden="1"/>
    </xf>
    <xf numFmtId="0" fontId="6" fillId="3" borderId="36" xfId="0" applyFont="1" applyFill="1" applyBorder="1" applyAlignment="1" applyProtection="1">
      <protection hidden="1"/>
    </xf>
    <xf numFmtId="0" fontId="1" fillId="0" borderId="37" xfId="0" applyFont="1" applyBorder="1" applyAlignment="1" applyProtection="1">
      <protection hidden="1"/>
    </xf>
    <xf numFmtId="164" fontId="1" fillId="0" borderId="38" xfId="0" applyNumberFormat="1" applyFont="1" applyBorder="1" applyAlignment="1" applyProtection="1">
      <alignment horizontal="right"/>
      <protection hidden="1"/>
    </xf>
    <xf numFmtId="0" fontId="12" fillId="0" borderId="30" xfId="0" applyFont="1" applyBorder="1" applyAlignment="1">
      <alignment vertical="center"/>
    </xf>
    <xf numFmtId="0" fontId="19" fillId="3" borderId="29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5" fillId="0" borderId="4" xfId="0" applyFont="1" applyBorder="1" applyAlignment="1">
      <alignment horizontal="left" wrapText="1"/>
    </xf>
    <xf numFmtId="0" fontId="0" fillId="0" borderId="0" xfId="0" applyFont="1" applyAlignment="1"/>
    <xf numFmtId="0" fontId="3" fillId="0" borderId="5" xfId="0" applyFont="1" applyBorder="1"/>
    <xf numFmtId="0" fontId="3" fillId="0" borderId="4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3" fillId="0" borderId="4" xfId="0" applyFont="1" applyBorder="1" applyAlignment="1">
      <alignment horizontal="center" vertical="center" wrapText="1"/>
    </xf>
    <xf numFmtId="0" fontId="44" fillId="0" borderId="0" xfId="0" applyFont="1" applyAlignment="1"/>
    <xf numFmtId="0" fontId="27" fillId="0" borderId="5" xfId="0" applyFont="1" applyBorder="1"/>
    <xf numFmtId="0" fontId="27" fillId="0" borderId="4" xfId="0" applyFont="1" applyBorder="1"/>
    <xf numFmtId="0" fontId="2" fillId="0" borderId="1" xfId="0" applyFont="1" applyBorder="1" applyAlignment="1">
      <alignment horizontal="center"/>
    </xf>
    <xf numFmtId="0" fontId="2" fillId="0" borderId="32" xfId="0" applyFont="1" applyBorder="1" applyAlignment="1" applyProtection="1">
      <alignment horizontal="center"/>
      <protection hidden="1"/>
    </xf>
    <xf numFmtId="0" fontId="3" fillId="0" borderId="33" xfId="0" applyFont="1" applyBorder="1" applyProtection="1">
      <protection hidden="1"/>
    </xf>
    <xf numFmtId="0" fontId="3" fillId="0" borderId="34" xfId="0" applyFont="1" applyBorder="1" applyProtection="1">
      <protection hidden="1"/>
    </xf>
    <xf numFmtId="0" fontId="46" fillId="0" borderId="35" xfId="0" applyFont="1" applyBorder="1" applyAlignment="1" applyProtection="1">
      <alignment horizontal="center" wrapText="1"/>
      <protection hidden="1"/>
    </xf>
    <xf numFmtId="0" fontId="44" fillId="0" borderId="29" xfId="0" applyFont="1" applyBorder="1" applyAlignment="1" applyProtection="1">
      <protection hidden="1"/>
    </xf>
    <xf numFmtId="0" fontId="27" fillId="0" borderId="36" xfId="0" applyFont="1" applyBorder="1" applyProtection="1">
      <protection hidden="1"/>
    </xf>
    <xf numFmtId="0" fontId="27" fillId="0" borderId="35" xfId="0" applyFont="1" applyBorder="1" applyProtection="1">
      <protection hidden="1"/>
    </xf>
    <xf numFmtId="0" fontId="41" fillId="7" borderId="0" xfId="0" applyFont="1" applyFill="1" applyAlignment="1" applyProtection="1">
      <alignment wrapText="1"/>
      <protection hidden="1"/>
    </xf>
    <xf numFmtId="0" fontId="43" fillId="0" borderId="5" xfId="0" applyFont="1" applyBorder="1" applyProtection="1">
      <protection hidden="1"/>
    </xf>
    <xf numFmtId="2" fontId="1" fillId="7" borderId="0" xfId="0" applyNumberFormat="1" applyFont="1" applyFill="1" applyAlignment="1" applyProtection="1">
      <alignment horizontal="right"/>
      <protection hidden="1"/>
    </xf>
    <xf numFmtId="0" fontId="3" fillId="0" borderId="5" xfId="0" applyFont="1" applyBorder="1" applyProtection="1">
      <protection hidden="1"/>
    </xf>
    <xf numFmtId="2" fontId="1" fillId="7" borderId="7" xfId="0" applyNumberFormat="1" applyFont="1" applyFill="1" applyBorder="1" applyAlignment="1" applyProtection="1">
      <alignment horizontal="right"/>
      <protection hidden="1"/>
    </xf>
    <xf numFmtId="0" fontId="3" fillId="0" borderId="8" xfId="0" applyFont="1" applyBorder="1" applyProtection="1">
      <protection hidden="1"/>
    </xf>
    <xf numFmtId="0" fontId="2" fillId="0" borderId="21" xfId="0" applyFont="1" applyBorder="1" applyAlignment="1" applyProtection="1">
      <alignment horizontal="center"/>
      <protection hidden="1"/>
    </xf>
    <xf numFmtId="0" fontId="3" fillId="0" borderId="22" xfId="0" applyFont="1" applyBorder="1" applyProtection="1">
      <protection hidden="1"/>
    </xf>
    <xf numFmtId="0" fontId="3" fillId="0" borderId="23" xfId="0" applyFont="1" applyBorder="1" applyProtection="1">
      <protection hidden="1"/>
    </xf>
    <xf numFmtId="0" fontId="41" fillId="0" borderId="24" xfId="0" applyFont="1" applyBorder="1" applyAlignment="1" applyProtection="1">
      <alignment horizontal="center" wrapText="1"/>
      <protection hidden="1"/>
    </xf>
    <xf numFmtId="0" fontId="42" fillId="0" borderId="20" xfId="0" applyFont="1" applyBorder="1" applyAlignment="1" applyProtection="1">
      <protection hidden="1"/>
    </xf>
    <xf numFmtId="0" fontId="43" fillId="0" borderId="25" xfId="0" applyFont="1" applyBorder="1" applyProtection="1">
      <protection hidden="1"/>
    </xf>
    <xf numFmtId="0" fontId="10" fillId="0" borderId="9" xfId="0" applyFont="1" applyBorder="1" applyAlignment="1">
      <alignment horizontal="center" vertical="center" wrapText="1"/>
    </xf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7" fillId="5" borderId="1" xfId="0" applyFont="1" applyFill="1" applyBorder="1" applyAlignment="1" applyProtection="1">
      <alignment horizontal="center"/>
      <protection hidden="1"/>
    </xf>
    <xf numFmtId="0" fontId="3" fillId="0" borderId="2" xfId="0" applyFont="1" applyBorder="1" applyProtection="1">
      <protection hidden="1"/>
    </xf>
    <xf numFmtId="0" fontId="3" fillId="0" borderId="3" xfId="0" applyFont="1" applyBorder="1" applyProtection="1">
      <protection hidden="1"/>
    </xf>
    <xf numFmtId="0" fontId="12" fillId="0" borderId="1" xfId="0" applyFont="1" applyBorder="1" applyAlignment="1">
      <alignment horizontal="center"/>
    </xf>
    <xf numFmtId="0" fontId="13" fillId="0" borderId="4" xfId="0" applyFont="1" applyBorder="1" applyAlignment="1">
      <alignment horizontal="center" wrapText="1"/>
    </xf>
    <xf numFmtId="0" fontId="14" fillId="3" borderId="4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/>
    </xf>
    <xf numFmtId="0" fontId="12" fillId="0" borderId="1" xfId="0" applyFont="1" applyBorder="1" applyAlignment="1" applyProtection="1">
      <alignment horizontal="center"/>
      <protection hidden="1"/>
    </xf>
    <xf numFmtId="0" fontId="15" fillId="5" borderId="22" xfId="0" applyFont="1" applyFill="1" applyBorder="1" applyAlignment="1">
      <alignment horizontal="center"/>
    </xf>
    <xf numFmtId="0" fontId="15" fillId="5" borderId="23" xfId="0" applyFont="1" applyFill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3" fillId="0" borderId="33" xfId="0" applyFont="1" applyBorder="1"/>
    <xf numFmtId="0" fontId="3" fillId="0" borderId="34" xfId="0" applyFont="1" applyBorder="1"/>
    <xf numFmtId="0" fontId="15" fillId="5" borderId="21" xfId="0" applyFont="1" applyFill="1" applyBorder="1" applyAlignment="1">
      <alignment horizontal="center"/>
    </xf>
    <xf numFmtId="0" fontId="3" fillId="0" borderId="22" xfId="0" applyFont="1" applyBorder="1"/>
    <xf numFmtId="0" fontId="3" fillId="0" borderId="23" xfId="0" applyFont="1" applyBorder="1"/>
    <xf numFmtId="0" fontId="13" fillId="0" borderId="6" xfId="0" applyFont="1" applyBorder="1" applyAlignment="1">
      <alignment horizontal="center" wrapText="1"/>
    </xf>
    <xf numFmtId="0" fontId="12" fillId="0" borderId="21" xfId="0" applyFont="1" applyBorder="1" applyAlignment="1">
      <alignment horizontal="center"/>
    </xf>
    <xf numFmtId="0" fontId="4" fillId="0" borderId="2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639234</xdr:colOff>
      <xdr:row>28</xdr:row>
      <xdr:rowOff>142297</xdr:rowOff>
    </xdr:from>
    <xdr:to>
      <xdr:col>8</xdr:col>
      <xdr:colOff>1075480</xdr:colOff>
      <xdr:row>32</xdr:row>
      <xdr:rowOff>155576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02234" y="5412797"/>
          <a:ext cx="436246" cy="6482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152399</xdr:colOff>
      <xdr:row>18</xdr:row>
      <xdr:rowOff>66674</xdr:rowOff>
    </xdr:from>
    <xdr:to>
      <xdr:col>12</xdr:col>
      <xdr:colOff>771525</xdr:colOff>
      <xdr:row>25</xdr:row>
      <xdr:rowOff>103044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15624" y="4086224"/>
          <a:ext cx="1457325" cy="2208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cuariofiliamadrid.org/misc.php?page=AMA" TargetMode="External"/><Relationship Id="rId1" Type="http://schemas.openxmlformats.org/officeDocument/2006/relationships/hyperlink" Target="https://acuariofiliamadrid.org/Thread-Calculadora-Sales-Ciclidos-Africanos-Malawi-Tanganica?pid=642234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E45"/>
  <sheetViews>
    <sheetView tabSelected="1" zoomScale="90" zoomScaleNormal="90" workbookViewId="0">
      <selection activeCell="J36" sqref="J36"/>
    </sheetView>
  </sheetViews>
  <sheetFormatPr baseColWidth="10" defaultColWidth="12.5703125" defaultRowHeight="15.75" customHeight="1" x14ac:dyDescent="0.2"/>
  <cols>
    <col min="1" max="1" width="2" customWidth="1"/>
    <col min="2" max="2" width="29.42578125" customWidth="1"/>
    <col min="3" max="3" width="11.5703125" customWidth="1"/>
    <col min="4" max="4" width="23.28515625" customWidth="1"/>
    <col min="5" max="5" width="20" customWidth="1"/>
    <col min="6" max="6" width="4.5703125" customWidth="1"/>
    <col min="7" max="7" width="26.140625" customWidth="1"/>
    <col min="8" max="8" width="14.28515625" customWidth="1"/>
    <col min="9" max="9" width="20.7109375" customWidth="1"/>
    <col min="10" max="10" width="14.140625" customWidth="1"/>
    <col min="11" max="11" width="4.28515625" customWidth="1"/>
    <col min="15" max="15" width="15.42578125" customWidth="1"/>
    <col min="16" max="16" width="23.42578125" customWidth="1"/>
  </cols>
  <sheetData>
    <row r="1" spans="1:31" ht="22.5" customHeight="1" x14ac:dyDescent="0.2">
      <c r="A1" s="1"/>
      <c r="B1" s="155" t="s">
        <v>0</v>
      </c>
      <c r="C1" s="156"/>
      <c r="D1" s="156"/>
      <c r="E1" s="157"/>
      <c r="F1" s="1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ht="21" customHeight="1" x14ac:dyDescent="0.2">
      <c r="A2" s="4"/>
      <c r="B2" s="158" t="s">
        <v>1</v>
      </c>
      <c r="C2" s="159"/>
      <c r="D2" s="159"/>
      <c r="E2" s="160"/>
      <c r="F2" s="4"/>
      <c r="G2" s="155" t="s">
        <v>2</v>
      </c>
      <c r="H2" s="165"/>
      <c r="I2" s="166"/>
      <c r="J2" s="5"/>
      <c r="K2" s="5"/>
      <c r="L2" s="5"/>
    </row>
    <row r="3" spans="1:31" ht="36" customHeight="1" x14ac:dyDescent="0.2">
      <c r="A3" s="4"/>
      <c r="B3" s="161"/>
      <c r="C3" s="159"/>
      <c r="D3" s="159"/>
      <c r="E3" s="160"/>
      <c r="F3" s="4"/>
      <c r="G3" s="167" t="s">
        <v>106</v>
      </c>
      <c r="H3" s="168"/>
      <c r="I3" s="169"/>
      <c r="J3" s="5"/>
      <c r="K3" s="5"/>
      <c r="L3" s="5"/>
    </row>
    <row r="4" spans="1:31" ht="12.75" x14ac:dyDescent="0.2">
      <c r="A4" s="4"/>
      <c r="B4" s="161"/>
      <c r="C4" s="159"/>
      <c r="D4" s="159"/>
      <c r="E4" s="160"/>
      <c r="F4" s="4"/>
      <c r="G4" s="170"/>
      <c r="H4" s="168"/>
      <c r="I4" s="169"/>
      <c r="J4" s="5"/>
      <c r="K4" s="5"/>
      <c r="L4" s="5"/>
    </row>
    <row r="5" spans="1:31" ht="12.75" x14ac:dyDescent="0.2">
      <c r="A5" s="4"/>
      <c r="B5" s="162"/>
      <c r="C5" s="163"/>
      <c r="D5" s="163"/>
      <c r="E5" s="164"/>
      <c r="F5" s="4"/>
      <c r="G5" s="6" t="s">
        <v>3</v>
      </c>
      <c r="H5" s="71">
        <v>9</v>
      </c>
      <c r="I5" s="30" t="s">
        <v>4</v>
      </c>
      <c r="J5" s="5"/>
      <c r="K5" s="5"/>
      <c r="L5" s="5"/>
    </row>
    <row r="6" spans="1:31" ht="12.75" x14ac:dyDescent="0.2">
      <c r="A6" s="4"/>
      <c r="B6" s="4"/>
      <c r="C6" s="4"/>
      <c r="D6" s="4"/>
      <c r="E6" s="5"/>
      <c r="F6" s="4"/>
      <c r="G6" s="6" t="s">
        <v>5</v>
      </c>
      <c r="H6" s="71">
        <v>9</v>
      </c>
      <c r="I6" s="30" t="s">
        <v>4</v>
      </c>
      <c r="J6" s="5"/>
      <c r="K6" s="5"/>
      <c r="L6" s="5"/>
    </row>
    <row r="7" spans="1:31" ht="12.75" x14ac:dyDescent="0.2">
      <c r="A7" s="4"/>
      <c r="B7" s="171" t="s">
        <v>6</v>
      </c>
      <c r="C7" s="156"/>
      <c r="D7" s="157"/>
      <c r="E7" s="5"/>
      <c r="F7" s="5"/>
      <c r="G7" s="6" t="s">
        <v>7</v>
      </c>
      <c r="H7" s="71"/>
      <c r="I7" s="30" t="s">
        <v>8</v>
      </c>
      <c r="J7" s="5"/>
      <c r="K7" s="5"/>
      <c r="L7" s="5"/>
    </row>
    <row r="8" spans="1:31" ht="12.75" x14ac:dyDescent="0.2">
      <c r="A8" s="5"/>
      <c r="B8" s="6" t="s">
        <v>9</v>
      </c>
      <c r="C8" s="69">
        <v>20</v>
      </c>
      <c r="D8" s="30" t="s">
        <v>10</v>
      </c>
      <c r="E8" s="5"/>
      <c r="F8" s="5"/>
      <c r="G8" s="6" t="s">
        <v>11</v>
      </c>
      <c r="H8" s="71"/>
      <c r="I8" s="30" t="s">
        <v>12</v>
      </c>
      <c r="J8" s="5"/>
      <c r="K8" s="5"/>
      <c r="L8" s="5"/>
    </row>
    <row r="9" spans="1:31" ht="12.75" x14ac:dyDescent="0.2">
      <c r="A9" s="5"/>
      <c r="B9" s="6" t="s">
        <v>13</v>
      </c>
      <c r="C9" s="69">
        <v>3</v>
      </c>
      <c r="D9" s="30" t="s">
        <v>4</v>
      </c>
      <c r="E9" s="5"/>
      <c r="F9" s="5"/>
      <c r="G9" s="7" t="s">
        <v>14</v>
      </c>
      <c r="H9" s="72"/>
      <c r="I9" s="31" t="s">
        <v>15</v>
      </c>
      <c r="J9" s="5"/>
      <c r="K9" s="5"/>
      <c r="L9" s="5"/>
    </row>
    <row r="10" spans="1:31" ht="12.75" x14ac:dyDescent="0.2">
      <c r="A10" s="5"/>
      <c r="B10" s="6" t="s">
        <v>16</v>
      </c>
      <c r="C10" s="69">
        <v>1</v>
      </c>
      <c r="D10" s="30" t="s">
        <v>4</v>
      </c>
      <c r="E10" s="5"/>
      <c r="F10" s="5"/>
      <c r="G10" s="5"/>
      <c r="H10" s="5"/>
      <c r="I10" s="5"/>
      <c r="J10" s="5"/>
      <c r="K10" s="5"/>
      <c r="L10" s="5"/>
    </row>
    <row r="11" spans="1:31" ht="12.75" x14ac:dyDescent="0.2">
      <c r="A11" s="5"/>
      <c r="B11" s="7" t="s">
        <v>17</v>
      </c>
      <c r="C11" s="70" t="s">
        <v>18</v>
      </c>
      <c r="D11" s="31" t="s">
        <v>19</v>
      </c>
      <c r="E11" s="5"/>
      <c r="F11" s="5"/>
      <c r="G11" s="5"/>
      <c r="H11" s="5"/>
      <c r="I11" s="5"/>
      <c r="J11" s="5"/>
      <c r="K11" s="5"/>
      <c r="L11" s="5"/>
    </row>
    <row r="12" spans="1:31" ht="12.75" x14ac:dyDescent="0.2">
      <c r="A12" s="5"/>
      <c r="B12" s="5"/>
      <c r="C12" s="5"/>
      <c r="D12" s="5"/>
      <c r="E12" s="5"/>
      <c r="F12" s="5"/>
      <c r="G12" s="199" t="str">
        <f>"Cantidad a aditar para tratar "&amp;C27&amp;" litros"</f>
        <v>Cantidad a aditar para tratar 20 litros</v>
      </c>
      <c r="H12" s="200"/>
      <c r="I12" s="200"/>
      <c r="J12" s="201"/>
      <c r="K12" s="5"/>
      <c r="L12" s="5"/>
    </row>
    <row r="13" spans="1:31" ht="12.75" x14ac:dyDescent="0.2">
      <c r="A13" s="5"/>
      <c r="B13" s="172" t="s">
        <v>20</v>
      </c>
      <c r="C13" s="173"/>
      <c r="D13" s="173"/>
      <c r="E13" s="174"/>
      <c r="F13" s="4"/>
      <c r="G13" s="80" t="s">
        <v>21</v>
      </c>
      <c r="H13" s="81" t="s">
        <v>22</v>
      </c>
      <c r="I13" s="81" t="s">
        <v>23</v>
      </c>
      <c r="J13" s="82" t="s">
        <v>24</v>
      </c>
      <c r="K13" s="4"/>
      <c r="L13" s="5"/>
    </row>
    <row r="14" spans="1:31" ht="12.75" x14ac:dyDescent="0.2">
      <c r="A14" s="5"/>
      <c r="B14" s="175" t="s">
        <v>25</v>
      </c>
      <c r="C14" s="176"/>
      <c r="D14" s="176"/>
      <c r="E14" s="177"/>
      <c r="F14" s="8"/>
      <c r="G14" s="83" t="s">
        <v>26</v>
      </c>
      <c r="H14" s="84" t="s">
        <v>27</v>
      </c>
      <c r="I14" s="85">
        <f>C33*C27*DatosSales!D3*C40/1000</f>
        <v>4.6889846975214562</v>
      </c>
      <c r="J14" s="86">
        <f t="shared" ref="J14:J17" si="0">I14*1000/$C$27</f>
        <v>234.44923487607281</v>
      </c>
      <c r="K14" s="5"/>
      <c r="L14" s="5"/>
    </row>
    <row r="15" spans="1:31" ht="12.75" x14ac:dyDescent="0.2">
      <c r="A15" s="5"/>
      <c r="B15" s="178"/>
      <c r="C15" s="176"/>
      <c r="D15" s="176"/>
      <c r="E15" s="177"/>
      <c r="F15" s="8"/>
      <c r="G15" s="83" t="s">
        <v>28</v>
      </c>
      <c r="H15" s="84" t="s">
        <v>29</v>
      </c>
      <c r="I15" s="85">
        <f>C33*C27*DatosSales!D4*C41/1000</f>
        <v>5.7986084601109954E-2</v>
      </c>
      <c r="J15" s="86">
        <f t="shared" si="0"/>
        <v>2.8993042300554976</v>
      </c>
      <c r="K15" s="5"/>
      <c r="L15" s="5"/>
    </row>
    <row r="16" spans="1:31" ht="12.75" x14ac:dyDescent="0.2">
      <c r="A16" s="5"/>
      <c r="B16" s="149"/>
      <c r="C16" s="147" t="s">
        <v>18</v>
      </c>
      <c r="D16" s="147" t="s">
        <v>30</v>
      </c>
      <c r="E16" s="150"/>
      <c r="F16" s="4"/>
      <c r="G16" s="83" t="s">
        <v>31</v>
      </c>
      <c r="H16" s="84" t="s">
        <v>32</v>
      </c>
      <c r="I16" s="85">
        <f>C43*C27</f>
        <v>0.22000220002200022</v>
      </c>
      <c r="J16" s="86">
        <f t="shared" si="0"/>
        <v>11.00011000110001</v>
      </c>
      <c r="K16" s="5"/>
      <c r="L16" s="5"/>
    </row>
    <row r="17" spans="1:16" ht="12.75" x14ac:dyDescent="0.2">
      <c r="A17" s="5"/>
      <c r="B17" s="149" t="s">
        <v>3</v>
      </c>
      <c r="C17" s="124">
        <v>7</v>
      </c>
      <c r="D17" s="124">
        <v>9</v>
      </c>
      <c r="E17" s="143" t="s">
        <v>4</v>
      </c>
      <c r="F17" s="4"/>
      <c r="G17" s="83" t="s">
        <v>33</v>
      </c>
      <c r="H17" s="84" t="s">
        <v>34</v>
      </c>
      <c r="I17" s="85">
        <f>C32*C27*DatosSales!C6*C37/1000</f>
        <v>1.4334983120056843</v>
      </c>
      <c r="J17" s="86">
        <f t="shared" si="0"/>
        <v>71.674915600284208</v>
      </c>
      <c r="K17" s="5"/>
      <c r="L17" s="5"/>
    </row>
    <row r="18" spans="1:16" ht="12.75" x14ac:dyDescent="0.2">
      <c r="A18" s="5"/>
      <c r="B18" s="149" t="s">
        <v>5</v>
      </c>
      <c r="C18" s="124">
        <v>8</v>
      </c>
      <c r="D18" s="124">
        <v>16</v>
      </c>
      <c r="E18" s="143" t="s">
        <v>4</v>
      </c>
      <c r="F18" s="4"/>
      <c r="G18" s="87" t="s">
        <v>35</v>
      </c>
      <c r="H18" s="88" t="s">
        <v>36</v>
      </c>
      <c r="I18" s="89">
        <f>C32*C27*DatosSales!C7*C38/1000</f>
        <v>2.0998691030057581</v>
      </c>
      <c r="J18" s="90">
        <f>(DatosSales!J7/DatosSales!E7)* I18*1000/$C$27</f>
        <v>51.274623233164661</v>
      </c>
      <c r="K18" s="5"/>
      <c r="L18" s="5"/>
    </row>
    <row r="19" spans="1:16" ht="12.75" x14ac:dyDescent="0.2">
      <c r="A19" s="5"/>
      <c r="B19" s="149" t="s">
        <v>37</v>
      </c>
      <c r="C19" s="148">
        <v>2.5</v>
      </c>
      <c r="D19" s="148">
        <f>1/3.4</f>
        <v>0.29411764705882354</v>
      </c>
      <c r="E19" s="143" t="s">
        <v>8</v>
      </c>
      <c r="F19" s="5"/>
      <c r="G19" s="79"/>
      <c r="H19" s="79"/>
      <c r="I19" s="79"/>
      <c r="J19" s="91">
        <f>SUM(J14:J18)</f>
        <v>371.29818794067717</v>
      </c>
      <c r="K19" s="5"/>
      <c r="L19" s="5"/>
    </row>
    <row r="20" spans="1:16" ht="12.75" x14ac:dyDescent="0.2">
      <c r="A20" s="5"/>
      <c r="B20" s="149" t="s">
        <v>38</v>
      </c>
      <c r="C20" s="127" t="str">
        <f t="shared" ref="C20:D20" si="1">IF(C19&gt;1,C19&amp;":1","1:"&amp;ROUND(1/C19,1))</f>
        <v>2,5:1</v>
      </c>
      <c r="D20" s="127" t="str">
        <f t="shared" si="1"/>
        <v>1:3,4</v>
      </c>
      <c r="E20" s="143" t="s">
        <v>39</v>
      </c>
      <c r="F20" s="5"/>
      <c r="G20" s="199" t="s">
        <v>40</v>
      </c>
      <c r="H20" s="200"/>
      <c r="I20" s="200"/>
      <c r="J20" s="201"/>
      <c r="K20" s="5"/>
      <c r="L20" s="5"/>
    </row>
    <row r="21" spans="1:16" ht="12.75" x14ac:dyDescent="0.2">
      <c r="A21" s="5"/>
      <c r="B21" s="149" t="s">
        <v>11</v>
      </c>
      <c r="C21" s="130">
        <f>249.2/20151.3</f>
        <v>1.2366447822224869E-2</v>
      </c>
      <c r="D21" s="130">
        <f>1780.8/42082.9</f>
        <v>4.2316475337963871E-2</v>
      </c>
      <c r="E21" s="143" t="s">
        <v>12</v>
      </c>
      <c r="F21" s="5"/>
      <c r="G21" s="92" t="s">
        <v>41</v>
      </c>
      <c r="H21" s="93">
        <f>J19</f>
        <v>371.29818794067717</v>
      </c>
      <c r="I21" s="179" t="s">
        <v>42</v>
      </c>
      <c r="J21" s="180"/>
    </row>
    <row r="22" spans="1:16" ht="12.75" x14ac:dyDescent="0.2">
      <c r="A22" s="5"/>
      <c r="B22" s="151" t="s">
        <v>43</v>
      </c>
      <c r="C22" s="152">
        <v>5.769122333270845</v>
      </c>
      <c r="D22" s="152">
        <v>30.418484200670516</v>
      </c>
      <c r="E22" s="146" t="s">
        <v>15</v>
      </c>
      <c r="F22" s="5"/>
      <c r="G22" s="92" t="s">
        <v>44</v>
      </c>
      <c r="H22" s="93">
        <f>H21/0.55</f>
        <v>675.08761443759477</v>
      </c>
      <c r="I22" s="179" t="s">
        <v>45</v>
      </c>
      <c r="J22" s="180"/>
      <c r="K22" s="5"/>
      <c r="L22" s="5"/>
    </row>
    <row r="23" spans="1:16" ht="36" customHeight="1" x14ac:dyDescent="0.2">
      <c r="A23" s="5"/>
      <c r="B23" s="4"/>
      <c r="C23" s="4"/>
      <c r="D23" s="4"/>
      <c r="E23" s="4"/>
      <c r="F23" s="4"/>
      <c r="G23" s="92" t="s">
        <v>46</v>
      </c>
      <c r="H23" s="93">
        <f>H21+C29*24.5+C28*20.6</f>
        <v>457.59818794067718</v>
      </c>
      <c r="I23" s="179" t="s">
        <v>47</v>
      </c>
      <c r="J23" s="180"/>
      <c r="K23" s="5"/>
      <c r="L23" s="5"/>
      <c r="M23" s="131"/>
      <c r="P23" s="131"/>
    </row>
    <row r="24" spans="1:16" ht="12.75" x14ac:dyDescent="0.2">
      <c r="A24" s="5"/>
      <c r="B24" s="185" t="s">
        <v>48</v>
      </c>
      <c r="C24" s="186"/>
      <c r="D24" s="187"/>
      <c r="E24" s="4"/>
      <c r="F24" s="4"/>
      <c r="G24" s="92" t="s">
        <v>107</v>
      </c>
      <c r="H24" s="93">
        <f>H23/0.55</f>
        <v>831.99670534668576</v>
      </c>
      <c r="I24" s="179" t="s">
        <v>45</v>
      </c>
      <c r="J24" s="180"/>
      <c r="K24" s="5"/>
      <c r="L24" s="5"/>
    </row>
    <row r="25" spans="1:16" ht="12.75" x14ac:dyDescent="0.2">
      <c r="A25" s="5"/>
      <c r="B25" s="188" t="s">
        <v>49</v>
      </c>
      <c r="C25" s="189"/>
      <c r="D25" s="190"/>
      <c r="E25" s="8"/>
      <c r="F25" s="8"/>
      <c r="G25" s="83"/>
      <c r="H25" s="84"/>
      <c r="I25" s="181"/>
      <c r="J25" s="182"/>
      <c r="K25" s="5"/>
      <c r="L25" s="5"/>
    </row>
    <row r="26" spans="1:16" ht="12.75" x14ac:dyDescent="0.2">
      <c r="A26" s="5"/>
      <c r="B26" s="140" t="s">
        <v>50</v>
      </c>
      <c r="C26" s="123" t="s">
        <v>51</v>
      </c>
      <c r="D26" s="141" t="s">
        <v>52</v>
      </c>
      <c r="E26" s="10"/>
      <c r="F26" s="10"/>
      <c r="G26" s="87"/>
      <c r="H26" s="88"/>
      <c r="I26" s="183"/>
      <c r="J26" s="184"/>
      <c r="K26" s="5"/>
      <c r="L26" s="5"/>
    </row>
    <row r="27" spans="1:16" ht="12.75" x14ac:dyDescent="0.2">
      <c r="A27" s="5"/>
      <c r="B27" s="142" t="s">
        <v>9</v>
      </c>
      <c r="C27" s="124">
        <f t="shared" ref="C27:C29" si="2">C8</f>
        <v>20</v>
      </c>
      <c r="D27" s="143" t="s">
        <v>10</v>
      </c>
      <c r="E27" s="5"/>
      <c r="F27" s="5"/>
      <c r="J27" s="5"/>
      <c r="K27" s="5"/>
      <c r="L27" s="5"/>
    </row>
    <row r="28" spans="1:16" ht="12.75" x14ac:dyDescent="0.2">
      <c r="A28" s="5"/>
      <c r="B28" s="142" t="s">
        <v>13</v>
      </c>
      <c r="C28" s="125">
        <f t="shared" si="2"/>
        <v>3</v>
      </c>
      <c r="D28" s="143" t="s">
        <v>4</v>
      </c>
      <c r="E28" s="5"/>
      <c r="F28" s="5"/>
      <c r="J28" s="5"/>
      <c r="K28" s="5"/>
      <c r="L28" s="5"/>
      <c r="P28" s="131"/>
    </row>
    <row r="29" spans="1:16" ht="12.75" x14ac:dyDescent="0.2">
      <c r="A29" s="5"/>
      <c r="B29" s="142" t="s">
        <v>16</v>
      </c>
      <c r="C29" s="125">
        <f t="shared" si="2"/>
        <v>1</v>
      </c>
      <c r="D29" s="143" t="s">
        <v>4</v>
      </c>
      <c r="E29" s="5"/>
      <c r="F29" s="5"/>
      <c r="G29" s="191" t="s">
        <v>53</v>
      </c>
      <c r="H29" s="192"/>
      <c r="I29" s="193"/>
      <c r="J29" s="5"/>
      <c r="K29" s="5"/>
      <c r="L29" s="5"/>
    </row>
    <row r="30" spans="1:16" ht="12.75" x14ac:dyDescent="0.2">
      <c r="A30" s="5"/>
      <c r="B30" s="142" t="s">
        <v>3</v>
      </c>
      <c r="C30" s="126">
        <f>IF($H5&lt;&gt;"",$H5,HLOOKUP($C$11,$B$16:$D$22,2,FALSE))</f>
        <v>9</v>
      </c>
      <c r="D30" s="143" t="s">
        <v>4</v>
      </c>
      <c r="E30" s="5"/>
      <c r="F30" s="5"/>
      <c r="G30" s="194"/>
      <c r="H30" s="159"/>
      <c r="I30" s="195"/>
      <c r="J30" s="5"/>
      <c r="K30" s="5"/>
      <c r="L30" s="5"/>
    </row>
    <row r="31" spans="1:16" ht="12.75" x14ac:dyDescent="0.2">
      <c r="A31" s="5"/>
      <c r="B31" s="142" t="s">
        <v>5</v>
      </c>
      <c r="C31" s="126">
        <f>IF($H6&lt;&gt;"",$H6,HLOOKUP($C$11,$B$16:$D$22,3,FALSE))</f>
        <v>9</v>
      </c>
      <c r="D31" s="143" t="s">
        <v>4</v>
      </c>
      <c r="E31" s="5"/>
      <c r="F31" s="5"/>
      <c r="G31" s="194"/>
      <c r="H31" s="159"/>
      <c r="I31" s="195"/>
      <c r="J31" s="5"/>
      <c r="K31" s="5"/>
      <c r="L31" s="5"/>
    </row>
    <row r="32" spans="1:16" ht="12.75" x14ac:dyDescent="0.2">
      <c r="A32" s="5"/>
      <c r="B32" s="142" t="s">
        <v>54</v>
      </c>
      <c r="C32" s="126">
        <f t="shared" ref="C32:C33" si="3">C30-C28</f>
        <v>6</v>
      </c>
      <c r="D32" s="143" t="s">
        <v>4</v>
      </c>
      <c r="E32" s="5"/>
      <c r="F32" s="5"/>
      <c r="G32" s="194"/>
      <c r="H32" s="159"/>
      <c r="I32" s="195"/>
      <c r="J32" s="5"/>
      <c r="K32" s="5"/>
      <c r="L32" s="5"/>
    </row>
    <row r="33" spans="1:13" ht="12.75" x14ac:dyDescent="0.2">
      <c r="A33" s="5"/>
      <c r="B33" s="142" t="s">
        <v>55</v>
      </c>
      <c r="C33" s="126">
        <f t="shared" si="3"/>
        <v>8</v>
      </c>
      <c r="D33" s="143" t="s">
        <v>4</v>
      </c>
      <c r="E33" s="4"/>
      <c r="F33" s="5"/>
      <c r="G33" s="194"/>
      <c r="H33" s="159"/>
      <c r="I33" s="195"/>
      <c r="J33" s="5"/>
      <c r="K33" s="5"/>
      <c r="L33" s="5"/>
    </row>
    <row r="34" spans="1:13" ht="12.75" x14ac:dyDescent="0.2">
      <c r="A34" s="5"/>
      <c r="B34" s="142" t="s">
        <v>7</v>
      </c>
      <c r="C34" s="126">
        <f>IF($H7&lt;&gt;"",$H7,HLOOKUP($C$11,$B$16:$D$22,4,FALSE))</f>
        <v>2.5</v>
      </c>
      <c r="D34" s="143" t="s">
        <v>8</v>
      </c>
      <c r="E34" s="4"/>
      <c r="F34" s="5"/>
      <c r="G34" s="194"/>
      <c r="H34" s="159"/>
      <c r="I34" s="195"/>
      <c r="J34" s="5"/>
      <c r="K34" s="5"/>
      <c r="L34" s="5"/>
      <c r="M34" s="131"/>
    </row>
    <row r="35" spans="1:13" ht="12.75" x14ac:dyDescent="0.2">
      <c r="A35" s="5"/>
      <c r="B35" s="142" t="s">
        <v>56</v>
      </c>
      <c r="C35" s="127" t="str">
        <f>IF(C34&gt;1,C34&amp;":1","1:"&amp;ROUND(1/C34,1))</f>
        <v>2,5:1</v>
      </c>
      <c r="D35" s="143" t="s">
        <v>39</v>
      </c>
      <c r="E35" s="4"/>
      <c r="F35" s="5"/>
      <c r="G35" s="194"/>
      <c r="H35" s="159"/>
      <c r="I35" s="195"/>
      <c r="J35" s="5"/>
      <c r="K35" s="5"/>
      <c r="L35" s="5"/>
    </row>
    <row r="36" spans="1:13" ht="12.75" x14ac:dyDescent="0.2">
      <c r="A36" s="5"/>
      <c r="B36" s="142" t="s">
        <v>57</v>
      </c>
      <c r="C36" s="128">
        <f>(DatosSales!G7/DatosSales!E7) * C34/(DatosSales!F6/DatosSales!E6)</f>
        <v>0.68266079535803981</v>
      </c>
      <c r="D36" s="143" t="s">
        <v>58</v>
      </c>
      <c r="E36" s="4"/>
      <c r="F36" s="5"/>
      <c r="G36" s="196"/>
      <c r="H36" s="197"/>
      <c r="I36" s="198"/>
      <c r="J36" s="5"/>
      <c r="K36" s="5"/>
      <c r="L36" s="5"/>
    </row>
    <row r="37" spans="1:13" ht="12.75" x14ac:dyDescent="0.2">
      <c r="A37" s="5"/>
      <c r="B37" s="142" t="s">
        <v>59</v>
      </c>
      <c r="C37" s="129">
        <f>C36*DatosSales!C7/(DatosSales!C6+DatosSales!C7*C36)</f>
        <v>0.60385937673283796</v>
      </c>
      <c r="D37" s="143" t="s">
        <v>60</v>
      </c>
      <c r="E37" s="4"/>
      <c r="F37" s="132"/>
      <c r="J37" s="5"/>
      <c r="K37" s="5"/>
      <c r="L37" s="5"/>
    </row>
    <row r="38" spans="1:13" ht="12.75" x14ac:dyDescent="0.2">
      <c r="A38" s="5"/>
      <c r="B38" s="142" t="s">
        <v>61</v>
      </c>
      <c r="C38" s="129">
        <f>1-C37</f>
        <v>0.39614062326716204</v>
      </c>
      <c r="D38" s="143" t="s">
        <v>60</v>
      </c>
      <c r="E38" s="4"/>
      <c r="F38" s="132"/>
      <c r="J38" s="5"/>
      <c r="K38" s="5"/>
      <c r="L38" s="5"/>
    </row>
    <row r="39" spans="1:13" ht="12.75" x14ac:dyDescent="0.2">
      <c r="A39" s="5"/>
      <c r="B39" s="142" t="s">
        <v>11</v>
      </c>
      <c r="C39" s="128">
        <f>IF($H8&lt;&gt;"",$H8,HLOOKUP($C$11,$B$16:$D$22,6,FALSE))</f>
        <v>1.2366447822224869E-2</v>
      </c>
      <c r="D39" s="143" t="s">
        <v>12</v>
      </c>
      <c r="E39" s="5"/>
      <c r="F39" s="5"/>
      <c r="G39" s="5"/>
      <c r="H39" s="5"/>
      <c r="I39" s="5"/>
      <c r="J39" s="5"/>
      <c r="K39" s="5"/>
      <c r="L39" s="5"/>
    </row>
    <row r="40" spans="1:13" ht="12.75" x14ac:dyDescent="0.2">
      <c r="A40" s="5"/>
      <c r="B40" s="142" t="s">
        <v>62</v>
      </c>
      <c r="C40" s="129">
        <f>(DatosSales!D4/(DatosSales!D4+C39*DatosSales!D3))</f>
        <v>0.98077308541494701</v>
      </c>
      <c r="D40" s="143" t="s">
        <v>60</v>
      </c>
      <c r="E40" s="5"/>
      <c r="F40" s="5"/>
      <c r="G40" s="5"/>
      <c r="H40" s="5"/>
      <c r="I40" s="5"/>
      <c r="J40" s="5"/>
      <c r="K40" s="5"/>
      <c r="L40" s="5"/>
    </row>
    <row r="41" spans="1:13" ht="12.75" x14ac:dyDescent="0.2">
      <c r="A41" s="5"/>
      <c r="B41" s="142" t="s">
        <v>63</v>
      </c>
      <c r="C41" s="129">
        <f>1-C40</f>
        <v>1.922691458505299E-2</v>
      </c>
      <c r="D41" s="143" t="s">
        <v>60</v>
      </c>
      <c r="E41" s="5"/>
      <c r="F41" s="5"/>
      <c r="G41" s="5"/>
      <c r="H41" s="5"/>
      <c r="I41" s="5"/>
      <c r="J41" s="5"/>
      <c r="K41" s="5"/>
      <c r="L41" s="5"/>
    </row>
    <row r="42" spans="1:13" ht="12.75" x14ac:dyDescent="0.2">
      <c r="A42" s="5"/>
      <c r="B42" s="142" t="s">
        <v>64</v>
      </c>
      <c r="C42" s="130">
        <f>IF($H8&lt;&gt;"",$H8,HLOOKUP($C$11,$B$16:$D$22,7,FALSE))</f>
        <v>5.769122333270845</v>
      </c>
      <c r="D42" s="143" t="s">
        <v>15</v>
      </c>
      <c r="E42" s="4"/>
      <c r="F42" s="5"/>
      <c r="G42" s="5"/>
      <c r="H42" s="5"/>
      <c r="I42" s="5"/>
      <c r="J42" s="5"/>
      <c r="K42" s="5"/>
      <c r="L42" s="5"/>
    </row>
    <row r="43" spans="1:13" ht="12.75" x14ac:dyDescent="0.2">
      <c r="A43" s="5"/>
      <c r="B43" s="144" t="s">
        <v>65</v>
      </c>
      <c r="C43" s="145">
        <f>C42/(1000*DatosSales!H5/DatosSales!E5)</f>
        <v>1.1000110001100011E-2</v>
      </c>
      <c r="D43" s="146" t="s">
        <v>66</v>
      </c>
      <c r="E43" s="4"/>
      <c r="F43" s="5"/>
      <c r="G43" s="5"/>
      <c r="H43" s="5"/>
      <c r="I43" s="5"/>
      <c r="J43" s="5"/>
      <c r="K43" s="5"/>
      <c r="L43" s="5"/>
    </row>
    <row r="44" spans="1:13" ht="12.75" x14ac:dyDescent="0.2">
      <c r="B44" s="36"/>
      <c r="C44" s="33"/>
      <c r="D44" s="139"/>
      <c r="E44" s="11"/>
    </row>
    <row r="45" spans="1:13" ht="15.75" customHeight="1" x14ac:dyDescent="0.2">
      <c r="D45" s="131"/>
    </row>
  </sheetData>
  <sheetProtection password="83EA" sheet="1" objects="1" scenarios="1"/>
  <mergeCells count="18">
    <mergeCell ref="G29:I36"/>
    <mergeCell ref="G12:J12"/>
    <mergeCell ref="G20:J20"/>
    <mergeCell ref="I21:J21"/>
    <mergeCell ref="I22:J22"/>
    <mergeCell ref="I23:J23"/>
    <mergeCell ref="B13:E13"/>
    <mergeCell ref="B14:E15"/>
    <mergeCell ref="I24:J24"/>
    <mergeCell ref="I25:J25"/>
    <mergeCell ref="I26:J26"/>
    <mergeCell ref="B24:D24"/>
    <mergeCell ref="B25:D25"/>
    <mergeCell ref="B1:E1"/>
    <mergeCell ref="B2:E5"/>
    <mergeCell ref="G2:I2"/>
    <mergeCell ref="G3:I4"/>
    <mergeCell ref="B7:D7"/>
  </mergeCells>
  <dataValidations count="1">
    <dataValidation type="list" allowBlank="1" showErrorMessage="1" sqref="C11">
      <formula1>"Malawi,Tanganica"</formula1>
    </dataValidation>
  </dataValidations>
  <hyperlinks>
    <hyperlink ref="B2" r:id="rId1" location="pid642234"/>
    <hyperlink ref="G29" r:id="rId2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28"/>
  <sheetViews>
    <sheetView zoomScale="90" zoomScaleNormal="90" workbookViewId="0">
      <selection activeCell="G20" sqref="G20"/>
    </sheetView>
  </sheetViews>
  <sheetFormatPr baseColWidth="10" defaultColWidth="12.5703125" defaultRowHeight="15.75" customHeight="1" x14ac:dyDescent="0.2"/>
  <cols>
    <col min="1" max="1" width="31.85546875" customWidth="1"/>
    <col min="2" max="2" width="10.140625" customWidth="1"/>
    <col min="3" max="3" width="13.28515625" customWidth="1"/>
    <col min="4" max="4" width="16.140625" customWidth="1"/>
    <col min="5" max="5" width="20.28515625" customWidth="1"/>
    <col min="6" max="6" width="10.42578125" customWidth="1"/>
    <col min="7" max="7" width="16.85546875" customWidth="1"/>
    <col min="8" max="8" width="17.28515625" customWidth="1"/>
    <col min="9" max="9" width="15" customWidth="1"/>
    <col min="10" max="10" width="14.42578125" customWidth="1"/>
  </cols>
  <sheetData>
    <row r="1" spans="1:22" ht="12.75" x14ac:dyDescent="0.2">
      <c r="A1" s="202" t="s">
        <v>0</v>
      </c>
      <c r="B1" s="156"/>
      <c r="C1" s="156"/>
      <c r="D1" s="156"/>
      <c r="E1" s="156"/>
      <c r="F1" s="157"/>
    </row>
    <row r="2" spans="1:22" ht="33.75" customHeight="1" x14ac:dyDescent="0.2">
      <c r="A2" s="203" t="s">
        <v>67</v>
      </c>
      <c r="B2" s="159"/>
      <c r="C2" s="159"/>
      <c r="D2" s="159"/>
      <c r="E2" s="159"/>
      <c r="F2" s="160"/>
    </row>
    <row r="3" spans="1:22" ht="12.75" x14ac:dyDescent="0.2">
      <c r="A3" s="204" t="s">
        <v>68</v>
      </c>
      <c r="B3" s="159"/>
      <c r="C3" s="159"/>
      <c r="D3" s="159"/>
      <c r="E3" s="159"/>
      <c r="F3" s="160"/>
      <c r="H3" s="206" t="str">
        <f>CalculadoraSales!G12</f>
        <v>Cantidad a aditar para tratar 20 litros</v>
      </c>
      <c r="I3" s="200"/>
      <c r="J3" s="201"/>
      <c r="K3" s="94"/>
      <c r="L3" s="94"/>
    </row>
    <row r="4" spans="1:22" ht="27" customHeight="1" x14ac:dyDescent="0.2">
      <c r="A4" s="203" t="s">
        <v>69</v>
      </c>
      <c r="B4" s="159"/>
      <c r="C4" s="159"/>
      <c r="D4" s="159"/>
      <c r="E4" s="159"/>
      <c r="F4" s="160"/>
      <c r="H4" s="95" t="str">
        <f>CalculadoraSales!G13</f>
        <v>Sal</v>
      </c>
      <c r="I4" s="96" t="str">
        <f>CalculadoraSales!H13</f>
        <v>Formula</v>
      </c>
      <c r="J4" s="97" t="str">
        <f>CalculadoraSales!I13</f>
        <v>Gramos a aditar en total</v>
      </c>
      <c r="K4" s="98" t="s">
        <v>70</v>
      </c>
      <c r="L4" s="98" t="s">
        <v>71</v>
      </c>
    </row>
    <row r="5" spans="1:22" ht="12.75" x14ac:dyDescent="0.2">
      <c r="A5" s="204" t="s">
        <v>72</v>
      </c>
      <c r="B5" s="159"/>
      <c r="C5" s="159"/>
      <c r="D5" s="159"/>
      <c r="E5" s="159"/>
      <c r="F5" s="160"/>
      <c r="H5" s="77" t="str">
        <f>CalculadoraSales!G14</f>
        <v>Bicarbonato sódico</v>
      </c>
      <c r="I5" s="79" t="str">
        <f>CalculadoraSales!H14</f>
        <v>NaHCO3</v>
      </c>
      <c r="J5" s="99">
        <f>CalculadoraSales!I14</f>
        <v>4.6889846975214562</v>
      </c>
      <c r="K5" s="100">
        <v>1</v>
      </c>
      <c r="L5" s="101">
        <f>VLOOKUP(I5,DatosSales!$B$2:$M$9,11,FALSE)</f>
        <v>103</v>
      </c>
    </row>
    <row r="6" spans="1:22" ht="13.5" customHeight="1" x14ac:dyDescent="0.2">
      <c r="A6" s="215" t="s">
        <v>73</v>
      </c>
      <c r="B6" s="163"/>
      <c r="C6" s="163"/>
      <c r="D6" s="163"/>
      <c r="E6" s="163"/>
      <c r="F6" s="164"/>
      <c r="H6" s="77" t="str">
        <f>CalculadoraSales!G15</f>
        <v>Carbonato sódico</v>
      </c>
      <c r="I6" s="79" t="str">
        <f>CalculadoraSales!H15</f>
        <v>Na2CO3</v>
      </c>
      <c r="J6" s="99">
        <f>CalculadoraSales!I15</f>
        <v>5.7986084601109954E-2</v>
      </c>
      <c r="K6" s="100">
        <v>1</v>
      </c>
      <c r="L6" s="101">
        <f>VLOOKUP(I6,DatosSales!$B$2:$M$9,11,FALSE)</f>
        <v>307</v>
      </c>
    </row>
    <row r="7" spans="1:22" ht="12.75" x14ac:dyDescent="0.2">
      <c r="E7" s="12"/>
      <c r="H7" s="77" t="str">
        <f>CalculadoraSales!G16</f>
        <v>Cloruro potásico</v>
      </c>
      <c r="I7" s="79" t="str">
        <f>CalculadoraSales!H16</f>
        <v>KCl</v>
      </c>
      <c r="J7" s="99">
        <f>CalculadoraSales!I16</f>
        <v>0.22000220002200022</v>
      </c>
      <c r="K7" s="100">
        <v>2</v>
      </c>
      <c r="L7" s="101">
        <f>VLOOKUP(I7,DatosSales!$B$2:$M$9,11,FALSE)</f>
        <v>344</v>
      </c>
    </row>
    <row r="8" spans="1:22" ht="12.75" x14ac:dyDescent="0.2">
      <c r="A8" s="209" t="s">
        <v>6</v>
      </c>
      <c r="B8" s="210"/>
      <c r="C8" s="211"/>
      <c r="H8" s="77" t="str">
        <f>CalculadoraSales!G17</f>
        <v>Cloruro cálcico</v>
      </c>
      <c r="I8" s="79" t="str">
        <f>CalculadoraSales!H17</f>
        <v>CaCl2</v>
      </c>
      <c r="J8" s="99">
        <f>CalculadoraSales!I17</f>
        <v>1.4334983120056843</v>
      </c>
      <c r="K8" s="100">
        <v>2</v>
      </c>
      <c r="L8" s="101">
        <f>VLOOKUP(I8,DatosSales!$B$2:$M$9,11,FALSE)</f>
        <v>745</v>
      </c>
    </row>
    <row r="9" spans="1:22" ht="12.75" x14ac:dyDescent="0.2">
      <c r="A9" s="134" t="s">
        <v>74</v>
      </c>
      <c r="B9" s="133">
        <v>1.5</v>
      </c>
      <c r="C9" s="135" t="s">
        <v>75</v>
      </c>
      <c r="H9" s="78" t="str">
        <f>CalculadoraSales!G18</f>
        <v>Sulfato magnésico</v>
      </c>
      <c r="I9" s="102" t="str">
        <f>CalculadoraSales!H18</f>
        <v>MgSO4+7 H2O</v>
      </c>
      <c r="J9" s="103">
        <f>CalculadoraSales!I18</f>
        <v>2.0998691030057581</v>
      </c>
      <c r="K9" s="104">
        <v>3</v>
      </c>
      <c r="L9" s="105">
        <f>VLOOKUP(I9,DatosSales!$B$2:$M$9,11,FALSE)</f>
        <v>355</v>
      </c>
    </row>
    <row r="10" spans="1:22" ht="12.75" x14ac:dyDescent="0.2">
      <c r="A10" s="136" t="s">
        <v>76</v>
      </c>
      <c r="B10" s="137">
        <v>15</v>
      </c>
      <c r="C10" s="138" t="s">
        <v>75</v>
      </c>
    </row>
    <row r="12" spans="1:22" ht="15.75" customHeight="1" x14ac:dyDescent="0.25">
      <c r="A12" s="212" t="s">
        <v>77</v>
      </c>
      <c r="B12" s="213"/>
      <c r="C12" s="213"/>
      <c r="D12" s="213"/>
      <c r="E12" s="213"/>
      <c r="F12" s="213"/>
      <c r="G12" s="213"/>
      <c r="H12" s="213"/>
      <c r="I12" s="213"/>
      <c r="J12" s="214"/>
      <c r="K12" s="207" t="s">
        <v>108</v>
      </c>
      <c r="L12" s="207"/>
      <c r="M12" s="207"/>
      <c r="N12" s="208"/>
    </row>
    <row r="13" spans="1:22" ht="45.75" customHeight="1" x14ac:dyDescent="0.2">
      <c r="A13" s="54" t="s">
        <v>21</v>
      </c>
      <c r="B13" s="55" t="s">
        <v>22</v>
      </c>
      <c r="C13" s="55" t="s">
        <v>78</v>
      </c>
      <c r="D13" s="55" t="s">
        <v>79</v>
      </c>
      <c r="E13" s="55" t="s">
        <v>80</v>
      </c>
      <c r="F13" s="55" t="s">
        <v>81</v>
      </c>
      <c r="G13" s="55" t="str">
        <f>"Cantidad de sales para "&amp;$B$9&amp;" litros de disolucion (g)"</f>
        <v>Cantidad de sales para 1,5 litros de disolucion (g)</v>
      </c>
      <c r="H13" s="56"/>
      <c r="I13" s="55" t="str">
        <f>"Cantidad de disolución para tratar "&amp;$B$10&amp;" litros de agua (ml)"</f>
        <v>Cantidad de disolución para tratar 15 litros de agua (ml)</v>
      </c>
      <c r="J13" s="53" t="s">
        <v>82</v>
      </c>
      <c r="K13" s="67" t="s">
        <v>102</v>
      </c>
      <c r="L13" s="67" t="s">
        <v>103</v>
      </c>
      <c r="M13" s="67" t="s">
        <v>104</v>
      </c>
      <c r="N13" s="68" t="s">
        <v>105</v>
      </c>
      <c r="O13" s="17"/>
      <c r="P13" s="17"/>
      <c r="Q13" s="17"/>
      <c r="R13" s="217"/>
      <c r="S13" s="17"/>
      <c r="T13" s="17"/>
      <c r="U13" s="17"/>
      <c r="V13" s="17"/>
    </row>
    <row r="14" spans="1:22" ht="12.75" x14ac:dyDescent="0.2">
      <c r="A14" s="57" t="s">
        <v>26</v>
      </c>
      <c r="B14" s="58" t="s">
        <v>27</v>
      </c>
      <c r="C14" s="113">
        <f ca="1">IFERROR(__xludf.DUMMYFUNCTION("VLOOKUP(B14,$I$5:$J$9,2,FALSE)/SUM(FILTER($J$5:$J$9,$K$5:$K$9=1))"),0.987784613122227)</f>
        <v>0.98778461312222698</v>
      </c>
      <c r="D14" s="114">
        <f t="shared" ref="D14:D15" si="0">VLOOKUP(B14,$I$5:$L$9,4,FALSE)*$J14</f>
        <v>86.210999999999999</v>
      </c>
      <c r="E14" s="114">
        <f ca="1">SUMPRODUCT(C14:C15, D14:D15)</f>
        <v>88.296752878605872</v>
      </c>
      <c r="F14" s="114">
        <f t="shared" ref="F14:F15" ca="1" si="1">C14*E14</f>
        <v>87.21817388214258</v>
      </c>
      <c r="G14" s="115">
        <f t="shared" ref="G14:G15" ca="1" si="2">F14*$B$9</f>
        <v>130.82726082321386</v>
      </c>
      <c r="H14" s="116"/>
      <c r="I14" s="117"/>
      <c r="J14" s="73">
        <v>0.83699999999999997</v>
      </c>
      <c r="K14" s="106">
        <f>1/2*(6.35+10.33)</f>
        <v>8.34</v>
      </c>
      <c r="L14" s="107"/>
      <c r="M14" s="107"/>
      <c r="N14" s="108"/>
    </row>
    <row r="15" spans="1:22" ht="12.75" x14ac:dyDescent="0.2">
      <c r="A15" s="59" t="s">
        <v>28</v>
      </c>
      <c r="B15" s="58" t="s">
        <v>29</v>
      </c>
      <c r="C15" s="113">
        <f ca="1">IFERROR(__xludf.DUMMYFUNCTION("VLOOKUP(B15,$I$5:$J$9,2,FALSE)/SUM(FILTER($J$5:$J$9,$K$5:$K$9=1))"),0.0122153868777726)</f>
        <v>1.2215386877772599E-2</v>
      </c>
      <c r="D15" s="114">
        <f t="shared" si="0"/>
        <v>256.959</v>
      </c>
      <c r="E15" s="114">
        <f ca="1">SUMPRODUCT(C14:C15, D14:D15)</f>
        <v>88.296752878605872</v>
      </c>
      <c r="F15" s="114">
        <f t="shared" ca="1" si="1"/>
        <v>1.0785789964632522</v>
      </c>
      <c r="G15" s="115">
        <f t="shared" ca="1" si="2"/>
        <v>1.6178684946948783</v>
      </c>
      <c r="H15" s="116"/>
      <c r="I15" s="116"/>
      <c r="J15" s="75">
        <f>J14</f>
        <v>0.83699999999999997</v>
      </c>
      <c r="K15" s="109">
        <f ca="1">14-N15</f>
        <v>11.045483182503403</v>
      </c>
      <c r="L15" s="110">
        <f ca="1">F15/105.988*(60.0089/105.9884)</f>
        <v>5.7617258697282943E-3</v>
      </c>
      <c r="M15" s="111">
        <f ca="1">SQRT(DatosSales!N4*L15)</f>
        <v>1.1104095353165221E-3</v>
      </c>
      <c r="N15" s="112">
        <f ca="1">-LOG(M15)</f>
        <v>2.9545168174965974</v>
      </c>
    </row>
    <row r="16" spans="1:22" ht="21.75" customHeight="1" x14ac:dyDescent="0.25">
      <c r="A16" s="60"/>
      <c r="B16" s="61"/>
      <c r="C16" s="61"/>
      <c r="D16" s="62"/>
      <c r="E16" s="62"/>
      <c r="F16" s="61"/>
      <c r="G16" s="63"/>
      <c r="H16" s="64" t="s">
        <v>83</v>
      </c>
      <c r="I16" s="65">
        <f ca="1">$B$10*(VLOOKUP(B15,$I$5:$J$9,2,FALSE)/CalculadoraSales!$C$27)/F15*1000</f>
        <v>40.321166640031251</v>
      </c>
      <c r="J16" s="66" t="s">
        <v>84</v>
      </c>
    </row>
    <row r="17" spans="1:22" ht="12.75" x14ac:dyDescent="0.2">
      <c r="A17" s="12"/>
      <c r="D17" s="27"/>
      <c r="E17" s="27"/>
      <c r="I17" s="28"/>
    </row>
    <row r="18" spans="1:22" ht="15.75" customHeight="1" x14ac:dyDescent="0.25">
      <c r="A18" s="205" t="s">
        <v>85</v>
      </c>
      <c r="B18" s="156"/>
      <c r="C18" s="156"/>
      <c r="D18" s="156"/>
      <c r="E18" s="156"/>
      <c r="F18" s="156"/>
      <c r="G18" s="156"/>
      <c r="H18" s="156"/>
      <c r="I18" s="156"/>
      <c r="J18" s="157"/>
    </row>
    <row r="19" spans="1:22" ht="48" x14ac:dyDescent="0.2">
      <c r="A19" s="13" t="s">
        <v>21</v>
      </c>
      <c r="B19" s="14" t="s">
        <v>22</v>
      </c>
      <c r="C19" s="14" t="s">
        <v>78</v>
      </c>
      <c r="D19" s="14" t="s">
        <v>79</v>
      </c>
      <c r="E19" s="14" t="s">
        <v>80</v>
      </c>
      <c r="F19" s="14" t="s">
        <v>81</v>
      </c>
      <c r="G19" s="14" t="str">
        <f>"Cantidad de sales para "&amp;$B$9&amp;" litros de disolucion (g)"</f>
        <v>Cantidad de sales para 1,5 litros de disolucion (g)</v>
      </c>
      <c r="H19" s="15"/>
      <c r="I19" s="14" t="str">
        <f>"Cantidad de disolución para tratar "&amp;$B$10&amp;" litros de agua (ml)"</f>
        <v>Cantidad de disolución para tratar 15 litros de agua (ml)</v>
      </c>
      <c r="J19" s="16" t="s">
        <v>82</v>
      </c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</row>
    <row r="20" spans="1:22" ht="12.75" x14ac:dyDescent="0.2">
      <c r="A20" s="9" t="s">
        <v>31</v>
      </c>
      <c r="B20" s="18" t="s">
        <v>32</v>
      </c>
      <c r="C20" s="118">
        <f ca="1">IFERROR(__xludf.DUMMYFUNCTION("VLOOKUP(B20,$I$5:$J$9,2,FALSE)/SUM(FILTER($J$5:$J$9,$K$5:$K$9=2))"),0.133052393042329)</f>
        <v>0.13305239304232899</v>
      </c>
      <c r="D20" s="119">
        <f t="shared" ref="D20:D21" si="3">VLOOKUP(B20,$I$5:$L$9,4,FALSE)*$J20</f>
        <v>50.052</v>
      </c>
      <c r="E20" s="119">
        <f ca="1">SUMPRODUCT(C20:C21, D20:D21)</f>
        <v>100.63449160174868</v>
      </c>
      <c r="F20" s="119">
        <f t="shared" ref="F20:F21" ca="1" si="4">C20*E20</f>
        <v>13.389659930210822</v>
      </c>
      <c r="G20" s="120">
        <f t="shared" ref="G20:G21" ca="1" si="5">F20*$B$9</f>
        <v>20.084489895316231</v>
      </c>
      <c r="H20" s="121"/>
      <c r="I20" s="122"/>
      <c r="J20" s="74">
        <v>0.14549999999999999</v>
      </c>
    </row>
    <row r="21" spans="1:22" ht="12.75" x14ac:dyDescent="0.2">
      <c r="A21" s="19" t="s">
        <v>33</v>
      </c>
      <c r="B21" s="18" t="s">
        <v>34</v>
      </c>
      <c r="C21" s="118">
        <f ca="1">IFERROR(__xludf.DUMMYFUNCTION("VLOOKUP(B21,$I$5:$J$9,2,FALSE)/SUM(FILTER($J$5:$J$9,$K$5:$K$9=2))"),0.86694760695767)</f>
        <v>0.86694760695767004</v>
      </c>
      <c r="D21" s="119">
        <f t="shared" si="3"/>
        <v>108.39749999999999</v>
      </c>
      <c r="E21" s="119">
        <f ca="1">SUMPRODUCT(C20:C21, D20:D21)</f>
        <v>100.63449160174868</v>
      </c>
      <c r="F21" s="119">
        <f t="shared" ca="1" si="4"/>
        <v>87.244831671537753</v>
      </c>
      <c r="G21" s="120">
        <f ca="1">F21*$B$9</f>
        <v>130.86724750730662</v>
      </c>
      <c r="H21" s="121"/>
      <c r="I21" s="121"/>
      <c r="J21" s="76">
        <f>J20</f>
        <v>0.14549999999999999</v>
      </c>
    </row>
    <row r="22" spans="1:22" ht="21" customHeight="1" x14ac:dyDescent="0.25">
      <c r="A22" s="20"/>
      <c r="B22" s="21"/>
      <c r="C22" s="21"/>
      <c r="D22" s="22"/>
      <c r="E22" s="22"/>
      <c r="F22" s="21"/>
      <c r="G22" s="23"/>
      <c r="H22" s="24" t="s">
        <v>83</v>
      </c>
      <c r="I22" s="25">
        <f ca="1">$B$10*(VLOOKUP(B21,$I$5:$J$9,2,FALSE)/CalculadoraSales!$C$27)/F21*1000</f>
        <v>12.323065027529937</v>
      </c>
      <c r="J22" s="26" t="s">
        <v>84</v>
      </c>
    </row>
    <row r="23" spans="1:22" ht="12.75" x14ac:dyDescent="0.2">
      <c r="D23" s="27"/>
      <c r="E23" s="27"/>
      <c r="I23" s="28"/>
    </row>
    <row r="24" spans="1:22" ht="15.75" customHeight="1" x14ac:dyDescent="0.25">
      <c r="A24" s="205" t="s">
        <v>86</v>
      </c>
      <c r="B24" s="156"/>
      <c r="C24" s="156"/>
      <c r="D24" s="156"/>
      <c r="E24" s="156"/>
      <c r="F24" s="156"/>
      <c r="G24" s="156"/>
      <c r="H24" s="156"/>
      <c r="I24" s="156"/>
      <c r="J24" s="157"/>
    </row>
    <row r="25" spans="1:22" ht="48" x14ac:dyDescent="0.2">
      <c r="A25" s="13" t="s">
        <v>21</v>
      </c>
      <c r="B25" s="14" t="s">
        <v>22</v>
      </c>
      <c r="C25" s="14" t="s">
        <v>78</v>
      </c>
      <c r="D25" s="14" t="s">
        <v>79</v>
      </c>
      <c r="E25" s="14" t="s">
        <v>80</v>
      </c>
      <c r="F25" s="14" t="s">
        <v>81</v>
      </c>
      <c r="G25" s="14" t="str">
        <f>"Cantidad de sales para "&amp;$B$9&amp;" litros de disolucion (g)"</f>
        <v>Cantidad de sales para 1,5 litros de disolucion (g)</v>
      </c>
      <c r="H25" s="15"/>
      <c r="I25" s="14" t="str">
        <f>"Cantidad de disolución para tratar "&amp;$B$10&amp;" litros de agua (ml)"</f>
        <v>Cantidad de disolución para tratar 15 litros de agua (ml)</v>
      </c>
      <c r="J25" s="16" t="s">
        <v>82</v>
      </c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  <row r="26" spans="1:22" ht="12.75" x14ac:dyDescent="0.2">
      <c r="A26" s="9" t="s">
        <v>35</v>
      </c>
      <c r="B26" s="18" t="s">
        <v>36</v>
      </c>
      <c r="C26" s="118">
        <f ca="1">IFERROR(__xludf.DUMMYFUNCTION("VLOOKUP(B26,$I$5:$J$9,2,FALSE)/SUM(FILTER($J$5:$J$9,$K$5:$K$9=3))"),1)</f>
        <v>1</v>
      </c>
      <c r="D26" s="119">
        <f>VLOOKUP(B26,$I$5:$L$9,4,FALSE)*$J26</f>
        <v>149.1</v>
      </c>
      <c r="E26" s="119">
        <f ca="1">SUMPRODUCT(C26:C27, D26:D27)</f>
        <v>149.1</v>
      </c>
      <c r="F26" s="119">
        <f ca="1">C26*E26</f>
        <v>149.1</v>
      </c>
      <c r="G26" s="120">
        <f ca="1">F26*$B$9</f>
        <v>223.64999999999998</v>
      </c>
      <c r="H26" s="121"/>
      <c r="I26" s="122"/>
      <c r="J26" s="74">
        <v>0.42</v>
      </c>
    </row>
    <row r="27" spans="1:22" ht="12.75" x14ac:dyDescent="0.2">
      <c r="A27" s="19"/>
      <c r="B27" s="18"/>
      <c r="C27" s="118"/>
      <c r="D27" s="119"/>
      <c r="E27" s="119"/>
      <c r="F27" s="119"/>
      <c r="G27" s="120"/>
      <c r="H27" s="121"/>
      <c r="I27" s="121"/>
      <c r="J27" s="74"/>
    </row>
    <row r="28" spans="1:22" ht="21" customHeight="1" x14ac:dyDescent="0.25">
      <c r="A28" s="20"/>
      <c r="B28" s="21"/>
      <c r="C28" s="21"/>
      <c r="D28" s="22"/>
      <c r="E28" s="22"/>
      <c r="F28" s="21"/>
      <c r="G28" s="23"/>
      <c r="H28" s="24" t="s">
        <v>83</v>
      </c>
      <c r="I28" s="25">
        <f ca="1">$B$10*(VLOOKUP(B26,$I$5:$J$9,2,FALSE)/CalculadoraSales!$C$27)/F26*1000</f>
        <v>10.562721846105422</v>
      </c>
      <c r="J28" s="26" t="s">
        <v>84</v>
      </c>
    </row>
  </sheetData>
  <sheetProtection password="83EA" sheet="1" objects="1" scenarios="1"/>
  <mergeCells count="12">
    <mergeCell ref="K12:N12"/>
    <mergeCell ref="A8:C8"/>
    <mergeCell ref="A12:J12"/>
    <mergeCell ref="A5:F5"/>
    <mergeCell ref="A6:F6"/>
    <mergeCell ref="A1:F1"/>
    <mergeCell ref="A2:F2"/>
    <mergeCell ref="A3:F3"/>
    <mergeCell ref="A18:J18"/>
    <mergeCell ref="A24:J24"/>
    <mergeCell ref="H3:J3"/>
    <mergeCell ref="A4:F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9"/>
  <sheetViews>
    <sheetView workbookViewId="0">
      <selection activeCell="J12" sqref="J12"/>
    </sheetView>
  </sheetViews>
  <sheetFormatPr baseColWidth="10" defaultColWidth="12.5703125" defaultRowHeight="15.75" customHeight="1" x14ac:dyDescent="0.2"/>
  <cols>
    <col min="1" max="1" width="19.85546875" customWidth="1"/>
    <col min="2" max="3" width="14.5703125" customWidth="1"/>
    <col min="4" max="4" width="13.85546875" customWidth="1"/>
    <col min="5" max="5" width="14.140625" customWidth="1"/>
    <col min="6" max="6" width="13.28515625" customWidth="1"/>
    <col min="12" max="13" width="10" customWidth="1"/>
  </cols>
  <sheetData>
    <row r="1" spans="1:14" ht="12.75" x14ac:dyDescent="0.2">
      <c r="A1" s="216" t="s">
        <v>87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40"/>
    </row>
    <row r="2" spans="1:14" s="32" customFormat="1" ht="50.25" customHeight="1" x14ac:dyDescent="0.2">
      <c r="A2" s="41" t="s">
        <v>21</v>
      </c>
      <c r="B2" s="153" t="s">
        <v>22</v>
      </c>
      <c r="C2" s="34" t="s">
        <v>88</v>
      </c>
      <c r="D2" s="34" t="s">
        <v>89</v>
      </c>
      <c r="E2" s="34" t="s">
        <v>90</v>
      </c>
      <c r="F2" s="34" t="s">
        <v>91</v>
      </c>
      <c r="G2" s="34" t="s">
        <v>92</v>
      </c>
      <c r="H2" s="34" t="s">
        <v>93</v>
      </c>
      <c r="I2" s="34" t="s">
        <v>94</v>
      </c>
      <c r="J2" s="34" t="s">
        <v>95</v>
      </c>
      <c r="K2" s="34" t="s">
        <v>96</v>
      </c>
      <c r="L2" s="34" t="s">
        <v>97</v>
      </c>
      <c r="M2" s="34" t="s">
        <v>98</v>
      </c>
      <c r="N2" s="42" t="s">
        <v>101</v>
      </c>
    </row>
    <row r="3" spans="1:14" ht="12.75" x14ac:dyDescent="0.2">
      <c r="A3" s="43" t="s">
        <v>26</v>
      </c>
      <c r="B3" s="154" t="s">
        <v>27</v>
      </c>
      <c r="C3" s="33"/>
      <c r="D3" s="35">
        <f t="shared" ref="D3:D4" si="0">$C$9/((K3/E3)/($K$9/$E$9))</f>
        <v>29.880667399340595</v>
      </c>
      <c r="E3" s="29">
        <v>84.01</v>
      </c>
      <c r="F3" s="33"/>
      <c r="G3" s="33"/>
      <c r="H3" s="36"/>
      <c r="I3" s="36"/>
      <c r="J3" s="36"/>
      <c r="K3" s="36">
        <v>1</v>
      </c>
      <c r="L3" s="37">
        <v>103</v>
      </c>
      <c r="M3" s="37">
        <v>61.02</v>
      </c>
      <c r="N3" s="44"/>
    </row>
    <row r="4" spans="1:14" ht="12.75" x14ac:dyDescent="0.2">
      <c r="A4" s="45" t="s">
        <v>28</v>
      </c>
      <c r="B4" s="154" t="s">
        <v>29</v>
      </c>
      <c r="C4" s="33"/>
      <c r="D4" s="35">
        <f t="shared" si="0"/>
        <v>18.849255669897094</v>
      </c>
      <c r="E4" s="36">
        <v>105.99</v>
      </c>
      <c r="F4" s="33"/>
      <c r="G4" s="33"/>
      <c r="H4" s="36"/>
      <c r="I4" s="36"/>
      <c r="J4" s="36"/>
      <c r="K4" s="36">
        <v>2</v>
      </c>
      <c r="L4" s="37">
        <v>307</v>
      </c>
      <c r="M4" s="37">
        <v>60.01</v>
      </c>
      <c r="N4" s="46">
        <v>2.14E-4</v>
      </c>
    </row>
    <row r="5" spans="1:14" ht="12.75" x14ac:dyDescent="0.2">
      <c r="A5" s="45" t="s">
        <v>31</v>
      </c>
      <c r="B5" s="154" t="s">
        <v>32</v>
      </c>
      <c r="C5" s="33"/>
      <c r="D5" s="33"/>
      <c r="E5" s="36">
        <v>74.549000000000007</v>
      </c>
      <c r="F5" s="33"/>
      <c r="G5" s="33"/>
      <c r="H5" s="36">
        <v>39.097999999999999</v>
      </c>
      <c r="I5" s="33"/>
      <c r="J5" s="33"/>
      <c r="K5" s="33"/>
      <c r="L5" s="37">
        <v>344</v>
      </c>
      <c r="M5" s="38"/>
      <c r="N5" s="44"/>
    </row>
    <row r="6" spans="1:14" ht="12.75" x14ac:dyDescent="0.2">
      <c r="A6" s="45" t="s">
        <v>33</v>
      </c>
      <c r="B6" s="154" t="s">
        <v>34</v>
      </c>
      <c r="C6" s="39">
        <f>7.144/(F6/E6)</f>
        <v>19.782452218174559</v>
      </c>
      <c r="D6" s="33"/>
      <c r="E6" s="36">
        <v>110.98</v>
      </c>
      <c r="F6" s="36">
        <v>40.078000000000003</v>
      </c>
      <c r="G6" s="33"/>
      <c r="H6" s="33"/>
      <c r="I6" s="33"/>
      <c r="J6" s="33"/>
      <c r="K6" s="33"/>
      <c r="L6" s="37">
        <v>745</v>
      </c>
      <c r="M6" s="38"/>
      <c r="N6" s="44"/>
    </row>
    <row r="7" spans="1:14" ht="12.75" x14ac:dyDescent="0.2">
      <c r="A7" s="45" t="s">
        <v>35</v>
      </c>
      <c r="B7" s="154" t="s">
        <v>36</v>
      </c>
      <c r="C7" s="39">
        <f>4.356/(G7/E7)</f>
        <v>44.173478214359186</v>
      </c>
      <c r="D7" s="33"/>
      <c r="E7" s="36">
        <v>246.47300000000001</v>
      </c>
      <c r="F7" s="33"/>
      <c r="G7" s="36">
        <v>24.305</v>
      </c>
      <c r="H7" s="33"/>
      <c r="I7" s="39">
        <f>E7-120.3676</f>
        <v>126.10540000000002</v>
      </c>
      <c r="J7" s="39">
        <f>120.3676</f>
        <v>120.3676</v>
      </c>
      <c r="K7" s="33"/>
      <c r="L7" s="37">
        <v>355</v>
      </c>
      <c r="M7" s="38"/>
      <c r="N7" s="44"/>
    </row>
    <row r="8" spans="1:14" ht="12.75" x14ac:dyDescent="0.2">
      <c r="A8" s="47"/>
      <c r="B8" s="131"/>
      <c r="C8" s="33"/>
      <c r="D8" s="33"/>
      <c r="E8" s="33"/>
      <c r="F8" s="33"/>
      <c r="G8" s="33"/>
      <c r="H8" s="33"/>
      <c r="I8" s="33"/>
      <c r="J8" s="33"/>
      <c r="K8" s="33"/>
      <c r="L8" s="37"/>
      <c r="M8" s="39"/>
      <c r="N8" s="44"/>
    </row>
    <row r="9" spans="1:14" ht="12.75" x14ac:dyDescent="0.2">
      <c r="A9" s="48" t="s">
        <v>99</v>
      </c>
      <c r="B9" s="49" t="s">
        <v>100</v>
      </c>
      <c r="C9" s="50">
        <v>17.8</v>
      </c>
      <c r="D9" s="51"/>
      <c r="E9" s="49">
        <v>100.09</v>
      </c>
      <c r="F9" s="51"/>
      <c r="G9" s="51"/>
      <c r="H9" s="49"/>
      <c r="I9" s="49"/>
      <c r="J9" s="49"/>
      <c r="K9" s="49">
        <v>2</v>
      </c>
      <c r="L9" s="49"/>
      <c r="M9" s="49">
        <v>60.01</v>
      </c>
      <c r="N9" s="52"/>
    </row>
  </sheetData>
  <sheetProtection password="83EA" sheet="1" objects="1" scenarios="1"/>
  <mergeCells count="1">
    <mergeCell ref="A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CalculadoraSales</vt:lpstr>
      <vt:lpstr>CalculadoraDisoluciones</vt:lpstr>
      <vt:lpstr>DatosSales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Mirdav</cp:lastModifiedBy>
  <dcterms:modified xsi:type="dcterms:W3CDTF">2022-10-07T09:54:20Z</dcterms:modified>
</cp:coreProperties>
</file>